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6405" tabRatio="598" activeTab="1"/>
  </bookViews>
  <sheets>
    <sheet name="VIATICOS 2007-INICIAL " sheetId="1" r:id="rId1"/>
    <sheet name="VIATICOS -BS." sheetId="2" r:id="rId2"/>
    <sheet name="VIATICOS-ut " sheetId="3" r:id="rId3"/>
  </sheets>
  <definedNames/>
  <calcPr fullCalcOnLoad="1"/>
</workbook>
</file>

<file path=xl/sharedStrings.xml><?xml version="1.0" encoding="utf-8"?>
<sst xmlns="http://schemas.openxmlformats.org/spreadsheetml/2006/main" count="399" uniqueCount="103">
  <si>
    <t xml:space="preserve">1 día </t>
  </si>
  <si>
    <t xml:space="preserve">Categoria del </t>
  </si>
  <si>
    <t>beneficiario</t>
  </si>
  <si>
    <t>Rector</t>
  </si>
  <si>
    <t>Decano</t>
  </si>
  <si>
    <t>Estudiante</t>
  </si>
  <si>
    <t>I 4</t>
  </si>
  <si>
    <t>I 3</t>
  </si>
  <si>
    <t>E2</t>
  </si>
  <si>
    <t>I1</t>
  </si>
  <si>
    <t>Empl. Ad, téc, ob</t>
  </si>
  <si>
    <t>I2</t>
  </si>
  <si>
    <t>Empl. Profesional</t>
  </si>
  <si>
    <t>E1</t>
  </si>
  <si>
    <t>Prof. Ula e Invitad</t>
  </si>
  <si>
    <t>ZONA A  Capitales de Estado</t>
  </si>
  <si>
    <t>ZONA B  Táchira-Mérida-Trujillo</t>
  </si>
  <si>
    <t>ZONA C</t>
  </si>
  <si>
    <t xml:space="preserve">1   1/2 dìas </t>
  </si>
  <si>
    <t xml:space="preserve">2 días </t>
  </si>
  <si>
    <t>2 1/2  días</t>
  </si>
  <si>
    <t>3 días</t>
  </si>
  <si>
    <t>3 1/2  días</t>
  </si>
  <si>
    <t>4 días</t>
  </si>
  <si>
    <t>4 1/2  días</t>
  </si>
  <si>
    <t>5 días</t>
  </si>
  <si>
    <t>5 1/2  días</t>
  </si>
  <si>
    <t>6 días</t>
  </si>
  <si>
    <t>1   1/2 dìas</t>
  </si>
  <si>
    <t>2 días</t>
  </si>
  <si>
    <t>PERNOTA</t>
  </si>
  <si>
    <t>SIN</t>
  </si>
  <si>
    <t>MERIDA - SAN CRISTOBAL</t>
  </si>
  <si>
    <t>MERIDA - TRUJILLO</t>
  </si>
  <si>
    <t>MERIDA - MARACAIBO</t>
  </si>
  <si>
    <t xml:space="preserve">Km </t>
  </si>
  <si>
    <t>Bs. * Km.</t>
  </si>
  <si>
    <t>Monto en Bs.</t>
  </si>
  <si>
    <t>MERIDA - BARINAS</t>
  </si>
  <si>
    <t>SAN CRISTOBAL - MARACAIBO</t>
  </si>
  <si>
    <t>MERIDA - BARQUISIMETO</t>
  </si>
  <si>
    <t>SAN CRISTOBAL -  BARINAS</t>
  </si>
  <si>
    <t>MERIDA - CARACAS</t>
  </si>
  <si>
    <t xml:space="preserve">TRUJILLO - CARACAS </t>
  </si>
  <si>
    <t xml:space="preserve">SAN CRISTOBAL - CARACAS </t>
  </si>
  <si>
    <t xml:space="preserve">TRUJILLO - MARACAIBO </t>
  </si>
  <si>
    <t>TRUJILLO - BARQUISIMETO</t>
  </si>
  <si>
    <t xml:space="preserve">TRUJILLO - PTO. LA CRUZ </t>
  </si>
  <si>
    <t>TRUJILLO - VALENCIA</t>
  </si>
  <si>
    <t>TRUJILLO - MARACAY</t>
  </si>
  <si>
    <t>MERIDA - VALERA</t>
  </si>
  <si>
    <t>SAN CRISTOBAL - VALENCIA</t>
  </si>
  <si>
    <t>SAN CRISTOBAL -  TRUJILLO</t>
  </si>
  <si>
    <t>MERIDA - PTO LA CRUZ</t>
  </si>
  <si>
    <t>MERIDA - MATURIN</t>
  </si>
  <si>
    <t>SAN CRISTOBAL - MARACAY</t>
  </si>
  <si>
    <t>MERIDA - VALENCIA</t>
  </si>
  <si>
    <t>TRUJILLO - BARINAS</t>
  </si>
  <si>
    <t>SAN CRISTOBAL -  BARQUISIMETO</t>
  </si>
  <si>
    <t>TRUJILLO - GUARICO</t>
  </si>
  <si>
    <t>Principales ciudades-distancia terrestre</t>
  </si>
  <si>
    <t xml:space="preserve">TABLA DE KILOMETRAJE </t>
  </si>
  <si>
    <t>CARACAS-VALENCIA</t>
  </si>
  <si>
    <t>TABLA DE VIATICOS Y GASTOS DE VIAJE  (U.T= 33.600,00)</t>
  </si>
  <si>
    <t>MERIDA-MARACAY</t>
  </si>
  <si>
    <t>MERIDA -  PUNTO FIJO</t>
  </si>
  <si>
    <t>MERIDA -  CORO</t>
  </si>
  <si>
    <t>TRUJILLO -  VALERA</t>
  </si>
  <si>
    <t>TRUJILLO -  CUMANA</t>
  </si>
  <si>
    <t>MERIDA -  VALENCIA</t>
  </si>
  <si>
    <t>TRUJILLO -  GUANARE</t>
  </si>
  <si>
    <t>Según Resolución No. CU-0237 del 05-02-07</t>
  </si>
  <si>
    <t>Según Resolución No. CU-1378 del 18-06-07</t>
  </si>
  <si>
    <t>7 días</t>
  </si>
  <si>
    <t xml:space="preserve">ZONA C zonas locales </t>
  </si>
  <si>
    <t>TABLA DE VIATICOS Y GASTOS DE VIAJE  (U.T= 37.632,00)  =37,63 Bs.F</t>
  </si>
  <si>
    <t>Monto en Bs.F</t>
  </si>
  <si>
    <t>Bs.F * Km.</t>
  </si>
  <si>
    <t>CARACAS - MARACAIBO</t>
  </si>
  <si>
    <t>SAN CRISTOBAL - CUMANA</t>
  </si>
  <si>
    <t>SAN CRISTOBAL - BARCELONA</t>
  </si>
  <si>
    <t>ZONA B  Barinas- Táchira-Mérida-Trujillo</t>
  </si>
  <si>
    <t>ZONA: EXTENSIONES Y NUCLEOS (APLICA VALERA-BOCONO- TRUJILLO)</t>
  </si>
  <si>
    <t>MERIDA - BARCELONA</t>
  </si>
  <si>
    <t>MERIDA - CORO</t>
  </si>
  <si>
    <t>MERIDA - PUNTO FIJO</t>
  </si>
  <si>
    <t>MERIDA - PTO ORDAZ</t>
  </si>
  <si>
    <t>MERIDA - CARUPANO</t>
  </si>
  <si>
    <t>MERIDA - CIUDAD BOLIVAR</t>
  </si>
  <si>
    <t>MERIDA - CUMANA</t>
  </si>
  <si>
    <t>MERIDA - ELVIGIA</t>
  </si>
  <si>
    <t>MERIDA - GUANARE</t>
  </si>
  <si>
    <t>MERIDA - MARACAY</t>
  </si>
  <si>
    <t>MERIDA - PTO AYACUCHO</t>
  </si>
  <si>
    <t>SAN CRISTOBAL - TOVAR</t>
  </si>
  <si>
    <t>TRUJILLO - CUMANA</t>
  </si>
  <si>
    <t>TRUJILLO - GUANARE</t>
  </si>
  <si>
    <t>TRUJILLO - VALERA</t>
  </si>
  <si>
    <t>CARACAS - VALENCIA</t>
  </si>
  <si>
    <t>SAN CRISTOBAL - PTO LA CRUZ</t>
  </si>
  <si>
    <t>SAN CRISTOBAL - MATURIN</t>
  </si>
  <si>
    <t xml:space="preserve">TABLA DE VIATICOS Y GASTOS DE VIAJE  </t>
  </si>
  <si>
    <t>Según Resolución No. CU-0070/20 DE FECHA 13/01/2020</t>
  </si>
</sst>
</file>

<file path=xl/styles.xml><?xml version="1.0" encoding="utf-8"?>
<styleSheet xmlns="http://schemas.openxmlformats.org/spreadsheetml/2006/main">
  <numFmts count="23">
    <numFmt numFmtId="5" formatCode="&quot;Bs.Fl&quot;\ #,##0;&quot;Bs.Fl&quot;\ \-#,##0"/>
    <numFmt numFmtId="6" formatCode="&quot;Bs.Fl&quot;\ #,##0;[Red]&quot;Bs.Fl&quot;\ \-#,##0"/>
    <numFmt numFmtId="7" formatCode="&quot;Bs.Fl&quot;\ #,##0.00;&quot;Bs.Fl&quot;\ \-#,##0.00"/>
    <numFmt numFmtId="8" formatCode="&quot;Bs.Fl&quot;\ #,##0.00;[Red]&quot;Bs.Fl&quot;\ \-#,##0.00"/>
    <numFmt numFmtId="42" formatCode="_ &quot;Bs.Fl&quot;\ * #,##0_ ;_ &quot;Bs.Fl&quot;\ * \-#,##0_ ;_ &quot;Bs.Fl&quot;\ * &quot;-&quot;_ ;_ @_ "/>
    <numFmt numFmtId="41" formatCode="_ * #,##0_ ;_ * \-#,##0_ ;_ * &quot;-&quot;_ ;_ @_ "/>
    <numFmt numFmtId="44" formatCode="_ &quot;Bs.Fl&quot;\ * #,##0.00_ ;_ &quot;Bs.Fl&quot;\ * \-#,##0.00_ ;_ &quot;Bs.F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18"/>
      <name val="Arial"/>
      <family val="2"/>
    </font>
    <font>
      <sz val="14"/>
      <color indexed="18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7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2" fillId="37" borderId="23" xfId="0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1" fillId="38" borderId="28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8" borderId="30" xfId="0" applyFont="1" applyFill="1" applyBorder="1" applyAlignment="1">
      <alignment/>
    </xf>
    <xf numFmtId="0" fontId="7" fillId="38" borderId="2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3" fillId="38" borderId="21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23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8" borderId="2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 horizontal="center"/>
    </xf>
    <xf numFmtId="4" fontId="13" fillId="0" borderId="18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21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1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38" borderId="1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40" borderId="12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9" borderId="19" xfId="0" applyFont="1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20" xfId="0" applyFont="1" applyFill="1" applyBorder="1" applyAlignment="1">
      <alignment horizontal="center"/>
    </xf>
    <xf numFmtId="0" fontId="12" fillId="41" borderId="19" xfId="0" applyFont="1" applyFill="1" applyBorder="1" applyAlignment="1">
      <alignment horizontal="center"/>
    </xf>
    <xf numFmtId="0" fontId="12" fillId="41" borderId="22" xfId="0" applyFont="1" applyFill="1" applyBorder="1" applyAlignment="1">
      <alignment horizontal="center"/>
    </xf>
    <xf numFmtId="0" fontId="12" fillId="41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6" fillId="41" borderId="19" xfId="0" applyFont="1" applyFill="1" applyBorder="1" applyAlignment="1">
      <alignment horizontal="center"/>
    </xf>
    <xf numFmtId="0" fontId="6" fillId="41" borderId="22" xfId="0" applyFont="1" applyFill="1" applyBorder="1" applyAlignment="1">
      <alignment horizontal="center"/>
    </xf>
    <xf numFmtId="0" fontId="6" fillId="41" borderId="20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="70" zoomScaleNormal="70" zoomScalePageLayoutView="0" workbookViewId="0" topLeftCell="A61">
      <selection activeCell="O31" sqref="O31"/>
    </sheetView>
  </sheetViews>
  <sheetFormatPr defaultColWidth="11.421875" defaultRowHeight="12.75"/>
  <cols>
    <col min="1" max="1" width="16.8515625" style="1" customWidth="1"/>
    <col min="2" max="2" width="4.28125" style="1" customWidth="1"/>
    <col min="3" max="3" width="11.421875" style="1" customWidth="1"/>
    <col min="4" max="4" width="11.140625" style="1" customWidth="1"/>
    <col min="5" max="5" width="12.00390625" style="1" customWidth="1"/>
    <col min="6" max="6" width="13.8515625" style="1" customWidth="1"/>
    <col min="7" max="7" width="11.57421875" style="1" customWidth="1"/>
    <col min="8" max="9" width="13.140625" style="1" customWidth="1"/>
    <col min="10" max="10" width="13.00390625" style="1" customWidth="1"/>
    <col min="11" max="11" width="12.7109375" style="1" customWidth="1"/>
    <col min="12" max="12" width="12.8515625" style="1" customWidth="1"/>
    <col min="13" max="13" width="13.140625" style="1" customWidth="1"/>
    <col min="14" max="16384" width="11.421875" style="1" customWidth="1"/>
  </cols>
  <sheetData>
    <row r="1" spans="1:14" s="37" customFormat="1" ht="18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8" customFormat="1" ht="15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3" ht="15">
      <c r="A3" s="110" t="s">
        <v>15</v>
      </c>
      <c r="B3" s="111"/>
      <c r="C3" s="112"/>
    </row>
    <row r="4" ht="15">
      <c r="A4" s="2"/>
    </row>
    <row r="5" spans="1:14" s="2" customFormat="1" ht="15">
      <c r="A5" s="103" t="s">
        <v>1</v>
      </c>
      <c r="B5" s="104"/>
      <c r="C5" s="27"/>
      <c r="D5" s="28"/>
      <c r="E5" s="27"/>
      <c r="F5" s="27"/>
      <c r="G5" s="27"/>
      <c r="H5" s="28"/>
      <c r="I5" s="27"/>
      <c r="J5" s="28"/>
      <c r="K5" s="27"/>
      <c r="L5" s="28"/>
      <c r="M5" s="27"/>
      <c r="N5" s="31" t="s">
        <v>31</v>
      </c>
    </row>
    <row r="6" spans="1:14" s="2" customFormat="1" ht="15">
      <c r="A6" s="98" t="s">
        <v>2</v>
      </c>
      <c r="B6" s="99"/>
      <c r="C6" s="29" t="s">
        <v>0</v>
      </c>
      <c r="D6" s="30" t="s">
        <v>18</v>
      </c>
      <c r="E6" s="29" t="s">
        <v>19</v>
      </c>
      <c r="F6" s="29" t="s">
        <v>20</v>
      </c>
      <c r="G6" s="29" t="s">
        <v>21</v>
      </c>
      <c r="H6" s="30" t="s">
        <v>22</v>
      </c>
      <c r="I6" s="29" t="s">
        <v>23</v>
      </c>
      <c r="J6" s="30" t="s">
        <v>24</v>
      </c>
      <c r="K6" s="29" t="s">
        <v>25</v>
      </c>
      <c r="L6" s="30" t="s">
        <v>26</v>
      </c>
      <c r="M6" s="29" t="s">
        <v>27</v>
      </c>
      <c r="N6" s="32" t="s">
        <v>30</v>
      </c>
    </row>
    <row r="7" spans="1:14" ht="15">
      <c r="A7" s="15" t="s">
        <v>3</v>
      </c>
      <c r="B7" s="16" t="s">
        <v>6</v>
      </c>
      <c r="C7" s="13">
        <f>(4.387+4.913)*33600</f>
        <v>312480</v>
      </c>
      <c r="D7" s="13">
        <f aca="true" t="shared" si="0" ref="D7:D12">SUM(C7+N7)</f>
        <v>477556.80000000005</v>
      </c>
      <c r="E7" s="13">
        <f aca="true" t="shared" si="1" ref="E7:E12">SUM(C7*2)</f>
        <v>624960</v>
      </c>
      <c r="F7" s="13">
        <f aca="true" t="shared" si="2" ref="F7:F12">SUM(E7+N7)</f>
        <v>790036.8</v>
      </c>
      <c r="G7" s="13">
        <f aca="true" t="shared" si="3" ref="G7:G12">SUM(C7*3)</f>
        <v>937440</v>
      </c>
      <c r="H7" s="13">
        <f aca="true" t="shared" si="4" ref="H7:H12">SUM(G7+N7)</f>
        <v>1102516.8</v>
      </c>
      <c r="I7" s="13">
        <f aca="true" t="shared" si="5" ref="I7:I12">SUM(C7*4)</f>
        <v>1249920</v>
      </c>
      <c r="J7" s="13">
        <f aca="true" t="shared" si="6" ref="J7:J12">SUM(I7+N7)</f>
        <v>1414996.8</v>
      </c>
      <c r="K7" s="13">
        <f aca="true" t="shared" si="7" ref="K7:K12">SUM(C7*5)</f>
        <v>1562400</v>
      </c>
      <c r="L7" s="13">
        <f aca="true" t="shared" si="8" ref="L7:L12">SUM(K7+N7)</f>
        <v>1727476.8</v>
      </c>
      <c r="M7" s="13">
        <f aca="true" t="shared" si="9" ref="M7:M12">SUM(C7*6)</f>
        <v>1874880</v>
      </c>
      <c r="N7" s="19">
        <f>4.913*33600</f>
        <v>165076.80000000002</v>
      </c>
    </row>
    <row r="8" spans="1:14" ht="15">
      <c r="A8" s="17" t="s">
        <v>4</v>
      </c>
      <c r="B8" s="18" t="s">
        <v>7</v>
      </c>
      <c r="C8" s="19">
        <f>(4.387+4.913)*33600</f>
        <v>312480</v>
      </c>
      <c r="D8" s="13">
        <f t="shared" si="0"/>
        <v>477556.80000000005</v>
      </c>
      <c r="E8" s="13">
        <f t="shared" si="1"/>
        <v>624960</v>
      </c>
      <c r="F8" s="13">
        <f t="shared" si="2"/>
        <v>790036.8</v>
      </c>
      <c r="G8" s="13">
        <f t="shared" si="3"/>
        <v>937440</v>
      </c>
      <c r="H8" s="13">
        <f t="shared" si="4"/>
        <v>1102516.8</v>
      </c>
      <c r="I8" s="13">
        <f t="shared" si="5"/>
        <v>1249920</v>
      </c>
      <c r="J8" s="13">
        <f t="shared" si="6"/>
        <v>1414996.8</v>
      </c>
      <c r="K8" s="13">
        <f t="shared" si="7"/>
        <v>1562400</v>
      </c>
      <c r="L8" s="13">
        <f t="shared" si="8"/>
        <v>1727476.8</v>
      </c>
      <c r="M8" s="13">
        <f t="shared" si="9"/>
        <v>1874880</v>
      </c>
      <c r="N8" s="19">
        <f>4.913*33600</f>
        <v>165076.80000000002</v>
      </c>
    </row>
    <row r="9" spans="1:14" ht="15">
      <c r="A9" s="17" t="s">
        <v>14</v>
      </c>
      <c r="B9" s="18" t="s">
        <v>8</v>
      </c>
      <c r="C9" s="19">
        <f>(3.509+3.071)*33600</f>
        <v>221088</v>
      </c>
      <c r="D9" s="13">
        <f t="shared" si="0"/>
        <v>324273.6</v>
      </c>
      <c r="E9" s="13">
        <f t="shared" si="1"/>
        <v>442176</v>
      </c>
      <c r="F9" s="13">
        <f t="shared" si="2"/>
        <v>545361.6</v>
      </c>
      <c r="G9" s="13">
        <f t="shared" si="3"/>
        <v>663264</v>
      </c>
      <c r="H9" s="13">
        <f t="shared" si="4"/>
        <v>766449.6</v>
      </c>
      <c r="I9" s="13">
        <f t="shared" si="5"/>
        <v>884352</v>
      </c>
      <c r="J9" s="13">
        <f t="shared" si="6"/>
        <v>987537.6</v>
      </c>
      <c r="K9" s="13">
        <f t="shared" si="7"/>
        <v>1105440</v>
      </c>
      <c r="L9" s="13">
        <f t="shared" si="8"/>
        <v>1208625.6</v>
      </c>
      <c r="M9" s="13">
        <f t="shared" si="9"/>
        <v>1326528</v>
      </c>
      <c r="N9" s="19">
        <f>3.071*33600</f>
        <v>103185.6</v>
      </c>
    </row>
    <row r="10" spans="1:14" ht="15">
      <c r="A10" s="17" t="s">
        <v>12</v>
      </c>
      <c r="B10" s="18" t="s">
        <v>11</v>
      </c>
      <c r="C10" s="19">
        <f>(3.071+2.456)*33600</f>
        <v>185707.2</v>
      </c>
      <c r="D10" s="13">
        <f t="shared" si="0"/>
        <v>268228.80000000005</v>
      </c>
      <c r="E10" s="13">
        <f t="shared" si="1"/>
        <v>371414.4</v>
      </c>
      <c r="F10" s="13">
        <f t="shared" si="2"/>
        <v>453936</v>
      </c>
      <c r="G10" s="13">
        <f t="shared" si="3"/>
        <v>557121.6000000001</v>
      </c>
      <c r="H10" s="13">
        <f t="shared" si="4"/>
        <v>639643.2000000001</v>
      </c>
      <c r="I10" s="13">
        <f t="shared" si="5"/>
        <v>742828.8</v>
      </c>
      <c r="J10" s="13">
        <f t="shared" si="6"/>
        <v>825350.4</v>
      </c>
      <c r="K10" s="13">
        <f t="shared" si="7"/>
        <v>928536</v>
      </c>
      <c r="L10" s="13">
        <f t="shared" si="8"/>
        <v>1011057.6</v>
      </c>
      <c r="M10" s="13">
        <f t="shared" si="9"/>
        <v>1114243.2000000002</v>
      </c>
      <c r="N10" s="19">
        <f>2.456*33600</f>
        <v>82521.6</v>
      </c>
    </row>
    <row r="11" spans="1:14" ht="15">
      <c r="A11" s="17" t="s">
        <v>10</v>
      </c>
      <c r="B11" s="18" t="s">
        <v>9</v>
      </c>
      <c r="C11" s="19">
        <f>(2.193+1.842)*33600</f>
        <v>135576</v>
      </c>
      <c r="D11" s="13">
        <f t="shared" si="0"/>
        <v>197467.2</v>
      </c>
      <c r="E11" s="13">
        <f t="shared" si="1"/>
        <v>271152</v>
      </c>
      <c r="F11" s="13">
        <f t="shared" si="2"/>
        <v>333043.2</v>
      </c>
      <c r="G11" s="13">
        <f t="shared" si="3"/>
        <v>406728</v>
      </c>
      <c r="H11" s="13">
        <f t="shared" si="4"/>
        <v>468619.2</v>
      </c>
      <c r="I11" s="13">
        <f t="shared" si="5"/>
        <v>542304</v>
      </c>
      <c r="J11" s="13">
        <f t="shared" si="6"/>
        <v>604195.2</v>
      </c>
      <c r="K11" s="13">
        <f t="shared" si="7"/>
        <v>677880</v>
      </c>
      <c r="L11" s="13">
        <f t="shared" si="8"/>
        <v>739771.2</v>
      </c>
      <c r="M11" s="13">
        <f t="shared" si="9"/>
        <v>813456</v>
      </c>
      <c r="N11" s="19">
        <f>1.842*33600</f>
        <v>61891.200000000004</v>
      </c>
    </row>
    <row r="12" spans="1:14" ht="15">
      <c r="A12" s="17" t="s">
        <v>5</v>
      </c>
      <c r="B12" s="18" t="s">
        <v>13</v>
      </c>
      <c r="C12" s="19">
        <f>(1.755+1.228)*33600</f>
        <v>100228.79999999999</v>
      </c>
      <c r="D12" s="13">
        <f t="shared" si="0"/>
        <v>141489.59999999998</v>
      </c>
      <c r="E12" s="13">
        <f t="shared" si="1"/>
        <v>200457.59999999998</v>
      </c>
      <c r="F12" s="13">
        <f t="shared" si="2"/>
        <v>241718.39999999997</v>
      </c>
      <c r="G12" s="13">
        <f t="shared" si="3"/>
        <v>300686.39999999997</v>
      </c>
      <c r="H12" s="13">
        <f t="shared" si="4"/>
        <v>341947.19999999995</v>
      </c>
      <c r="I12" s="13">
        <f t="shared" si="5"/>
        <v>400915.19999999995</v>
      </c>
      <c r="J12" s="13">
        <f t="shared" si="6"/>
        <v>442175.99999999994</v>
      </c>
      <c r="K12" s="13">
        <f t="shared" si="7"/>
        <v>501143.99999999994</v>
      </c>
      <c r="L12" s="13">
        <f t="shared" si="8"/>
        <v>542404.7999999999</v>
      </c>
      <c r="M12" s="13">
        <f t="shared" si="9"/>
        <v>601372.7999999999</v>
      </c>
      <c r="N12" s="19">
        <f>1.228*33600</f>
        <v>41260.8</v>
      </c>
    </row>
    <row r="13" spans="5:8" ht="14.25">
      <c r="E13" s="14"/>
      <c r="F13" s="14"/>
      <c r="G13" s="14"/>
      <c r="H13" s="14"/>
    </row>
    <row r="14" spans="1:8" ht="14.25">
      <c r="A14" s="36"/>
      <c r="E14" s="14"/>
      <c r="F14" s="14"/>
      <c r="G14" s="14"/>
      <c r="H14" s="14"/>
    </row>
    <row r="15" spans="1:3" ht="15">
      <c r="A15" s="33" t="s">
        <v>16</v>
      </c>
      <c r="B15" s="34"/>
      <c r="C15" s="35"/>
    </row>
    <row r="16" ht="15">
      <c r="A16" s="2"/>
    </row>
    <row r="17" spans="1:14" s="2" customFormat="1" ht="15">
      <c r="A17" s="103" t="s">
        <v>1</v>
      </c>
      <c r="B17" s="104"/>
      <c r="C17" s="27"/>
      <c r="D17" s="28"/>
      <c r="E17" s="27"/>
      <c r="F17" s="27"/>
      <c r="G17" s="27"/>
      <c r="H17" s="28"/>
      <c r="I17" s="27"/>
      <c r="J17" s="28"/>
      <c r="K17" s="27"/>
      <c r="L17" s="27"/>
      <c r="M17" s="27"/>
      <c r="N17" s="31" t="s">
        <v>31</v>
      </c>
    </row>
    <row r="18" spans="1:14" s="2" customFormat="1" ht="15">
      <c r="A18" s="98" t="s">
        <v>2</v>
      </c>
      <c r="B18" s="99"/>
      <c r="C18" s="29" t="s">
        <v>0</v>
      </c>
      <c r="D18" s="30" t="s">
        <v>28</v>
      </c>
      <c r="E18" s="29" t="s">
        <v>29</v>
      </c>
      <c r="F18" s="29" t="s">
        <v>20</v>
      </c>
      <c r="G18" s="29" t="s">
        <v>21</v>
      </c>
      <c r="H18" s="30" t="s">
        <v>22</v>
      </c>
      <c r="I18" s="29" t="s">
        <v>23</v>
      </c>
      <c r="J18" s="30" t="s">
        <v>24</v>
      </c>
      <c r="K18" s="29" t="s">
        <v>25</v>
      </c>
      <c r="L18" s="30" t="s">
        <v>26</v>
      </c>
      <c r="M18" s="29" t="s">
        <v>27</v>
      </c>
      <c r="N18" s="32" t="s">
        <v>30</v>
      </c>
    </row>
    <row r="19" spans="1:14" ht="15">
      <c r="A19" s="17" t="s">
        <v>3</v>
      </c>
      <c r="B19" s="18" t="s">
        <v>6</v>
      </c>
      <c r="C19" s="13">
        <f>(3.509+4.211)*33600</f>
        <v>259392.00000000003</v>
      </c>
      <c r="D19" s="13">
        <f aca="true" t="shared" si="10" ref="D19:D24">SUM(C19+N19)</f>
        <v>400881.60000000003</v>
      </c>
      <c r="E19" s="13">
        <f aca="true" t="shared" si="11" ref="E19:E24">SUM(C19*2)</f>
        <v>518784.00000000006</v>
      </c>
      <c r="F19" s="13">
        <f aca="true" t="shared" si="12" ref="F19:F24">SUM(E19+N19)</f>
        <v>660273.6000000001</v>
      </c>
      <c r="G19" s="13">
        <f aca="true" t="shared" si="13" ref="G19:G24">SUM(C19*3)</f>
        <v>778176.0000000001</v>
      </c>
      <c r="H19" s="13">
        <f aca="true" t="shared" si="14" ref="H19:H24">SUM(G19+N19)</f>
        <v>919665.6000000001</v>
      </c>
      <c r="I19" s="13">
        <f aca="true" t="shared" si="15" ref="I19:I24">SUM(C19*4)</f>
        <v>1037568.0000000001</v>
      </c>
      <c r="J19" s="13">
        <f aca="true" t="shared" si="16" ref="J19:J24">SUM(I19+N19)</f>
        <v>1179057.6</v>
      </c>
      <c r="K19" s="13">
        <f aca="true" t="shared" si="17" ref="K19:K24">SUM(C19*5)</f>
        <v>1296960.0000000002</v>
      </c>
      <c r="L19" s="13">
        <f aca="true" t="shared" si="18" ref="L19:L24">SUM(K19+N19)</f>
        <v>1438449.6000000003</v>
      </c>
      <c r="M19" s="13">
        <f aca="true" t="shared" si="19" ref="M19:M24">SUM(C19*6)</f>
        <v>1556352.0000000002</v>
      </c>
      <c r="N19" s="19">
        <f>4.211*33600</f>
        <v>141489.6</v>
      </c>
    </row>
    <row r="20" spans="1:14" ht="15">
      <c r="A20" s="17" t="s">
        <v>4</v>
      </c>
      <c r="B20" s="18" t="s">
        <v>7</v>
      </c>
      <c r="C20" s="13">
        <f>(3.509+4.211)*33600</f>
        <v>259392.00000000003</v>
      </c>
      <c r="D20" s="13">
        <f t="shared" si="10"/>
        <v>400881.60000000003</v>
      </c>
      <c r="E20" s="13">
        <f t="shared" si="11"/>
        <v>518784.00000000006</v>
      </c>
      <c r="F20" s="13">
        <f t="shared" si="12"/>
        <v>660273.6000000001</v>
      </c>
      <c r="G20" s="13">
        <f t="shared" si="13"/>
        <v>778176.0000000001</v>
      </c>
      <c r="H20" s="13">
        <f t="shared" si="14"/>
        <v>919665.6000000001</v>
      </c>
      <c r="I20" s="13">
        <f t="shared" si="15"/>
        <v>1037568.0000000001</v>
      </c>
      <c r="J20" s="13">
        <f t="shared" si="16"/>
        <v>1179057.6</v>
      </c>
      <c r="K20" s="13">
        <f t="shared" si="17"/>
        <v>1296960.0000000002</v>
      </c>
      <c r="L20" s="13">
        <f t="shared" si="18"/>
        <v>1438449.6000000003</v>
      </c>
      <c r="M20" s="13">
        <f t="shared" si="19"/>
        <v>1556352.0000000002</v>
      </c>
      <c r="N20" s="19">
        <f>4.211*33600</f>
        <v>141489.6</v>
      </c>
    </row>
    <row r="21" spans="1:14" ht="15">
      <c r="A21" s="17" t="s">
        <v>14</v>
      </c>
      <c r="B21" s="18" t="s">
        <v>8</v>
      </c>
      <c r="C21" s="19">
        <f>(2.807+2.632)*33600</f>
        <v>182750.4</v>
      </c>
      <c r="D21" s="13">
        <f t="shared" si="10"/>
        <v>271185.6</v>
      </c>
      <c r="E21" s="13">
        <f t="shared" si="11"/>
        <v>365500.8</v>
      </c>
      <c r="F21" s="13">
        <f t="shared" si="12"/>
        <v>453936</v>
      </c>
      <c r="G21" s="13">
        <f t="shared" si="13"/>
        <v>548251.2</v>
      </c>
      <c r="H21" s="13">
        <f t="shared" si="14"/>
        <v>636686.3999999999</v>
      </c>
      <c r="I21" s="13">
        <f t="shared" si="15"/>
        <v>731001.6</v>
      </c>
      <c r="J21" s="13">
        <f t="shared" si="16"/>
        <v>819436.7999999999</v>
      </c>
      <c r="K21" s="13">
        <f t="shared" si="17"/>
        <v>913752</v>
      </c>
      <c r="L21" s="13">
        <f t="shared" si="18"/>
        <v>1002187.2</v>
      </c>
      <c r="M21" s="13">
        <f t="shared" si="19"/>
        <v>1096502.4</v>
      </c>
      <c r="N21" s="19">
        <f>2.632*33600</f>
        <v>88435.2</v>
      </c>
    </row>
    <row r="22" spans="1:14" ht="15">
      <c r="A22" s="17" t="s">
        <v>12</v>
      </c>
      <c r="B22" s="18" t="s">
        <v>11</v>
      </c>
      <c r="C22" s="19">
        <f>(2.456+2.106)*33600</f>
        <v>153283.19999999998</v>
      </c>
      <c r="D22" s="13">
        <f t="shared" si="10"/>
        <v>224044.8</v>
      </c>
      <c r="E22" s="13">
        <f t="shared" si="11"/>
        <v>306566.39999999997</v>
      </c>
      <c r="F22" s="13">
        <f t="shared" si="12"/>
        <v>377327.99999999994</v>
      </c>
      <c r="G22" s="13">
        <f t="shared" si="13"/>
        <v>459849.6</v>
      </c>
      <c r="H22" s="13">
        <f t="shared" si="14"/>
        <v>530611.2</v>
      </c>
      <c r="I22" s="13">
        <f t="shared" si="15"/>
        <v>613132.7999999999</v>
      </c>
      <c r="J22" s="13">
        <f t="shared" si="16"/>
        <v>683894.3999999999</v>
      </c>
      <c r="K22" s="13">
        <f t="shared" si="17"/>
        <v>766415.9999999999</v>
      </c>
      <c r="L22" s="13">
        <f t="shared" si="18"/>
        <v>837177.5999999999</v>
      </c>
      <c r="M22" s="13">
        <f t="shared" si="19"/>
        <v>919699.2</v>
      </c>
      <c r="N22" s="19">
        <f>2.106*33600</f>
        <v>70761.59999999999</v>
      </c>
    </row>
    <row r="23" spans="1:14" ht="15">
      <c r="A23" s="17" t="s">
        <v>10</v>
      </c>
      <c r="B23" s="18" t="s">
        <v>9</v>
      </c>
      <c r="C23" s="19">
        <f>(1.755+1.579)*33600</f>
        <v>112022.4</v>
      </c>
      <c r="D23" s="13">
        <f t="shared" si="10"/>
        <v>165076.8</v>
      </c>
      <c r="E23" s="13">
        <f t="shared" si="11"/>
        <v>224044.8</v>
      </c>
      <c r="F23" s="13">
        <f t="shared" si="12"/>
        <v>277099.2</v>
      </c>
      <c r="G23" s="13">
        <f t="shared" si="13"/>
        <v>336067.19999999995</v>
      </c>
      <c r="H23" s="13">
        <f t="shared" si="14"/>
        <v>389121.6</v>
      </c>
      <c r="I23" s="13">
        <f t="shared" si="15"/>
        <v>448089.6</v>
      </c>
      <c r="J23" s="13">
        <f t="shared" si="16"/>
        <v>501144</v>
      </c>
      <c r="K23" s="13">
        <f t="shared" si="17"/>
        <v>560112</v>
      </c>
      <c r="L23" s="13">
        <f t="shared" si="18"/>
        <v>613166.4</v>
      </c>
      <c r="M23" s="13">
        <f t="shared" si="19"/>
        <v>672134.3999999999</v>
      </c>
      <c r="N23" s="19">
        <f>1.579*33600</f>
        <v>53054.4</v>
      </c>
    </row>
    <row r="24" spans="1:14" ht="15">
      <c r="A24" s="17" t="s">
        <v>5</v>
      </c>
      <c r="B24" s="18" t="s">
        <v>13</v>
      </c>
      <c r="C24" s="19">
        <f>(1.404+1.053)*33600</f>
        <v>82555.2</v>
      </c>
      <c r="D24" s="13">
        <f t="shared" si="10"/>
        <v>117936</v>
      </c>
      <c r="E24" s="13">
        <f t="shared" si="11"/>
        <v>165110.4</v>
      </c>
      <c r="F24" s="13">
        <f t="shared" si="12"/>
        <v>200491.19999999998</v>
      </c>
      <c r="G24" s="13">
        <f t="shared" si="13"/>
        <v>247665.59999999998</v>
      </c>
      <c r="H24" s="13">
        <f t="shared" si="14"/>
        <v>283046.39999999997</v>
      </c>
      <c r="I24" s="13">
        <f t="shared" si="15"/>
        <v>330220.8</v>
      </c>
      <c r="J24" s="13">
        <f t="shared" si="16"/>
        <v>365601.6</v>
      </c>
      <c r="K24" s="13">
        <f t="shared" si="17"/>
        <v>412776</v>
      </c>
      <c r="L24" s="13">
        <f t="shared" si="18"/>
        <v>448156.8</v>
      </c>
      <c r="M24" s="13">
        <f t="shared" si="19"/>
        <v>495331.19999999995</v>
      </c>
      <c r="N24" s="19">
        <f>1.053*33600</f>
        <v>35380.799999999996</v>
      </c>
    </row>
    <row r="26" spans="1:11" ht="15">
      <c r="A26" s="105" t="s">
        <v>17</v>
      </c>
      <c r="B26" s="106"/>
      <c r="C26" s="107"/>
      <c r="J26" s="8"/>
      <c r="K26" s="8"/>
    </row>
    <row r="27" spans="1:11" ht="15">
      <c r="A27" s="2"/>
      <c r="J27" s="8"/>
      <c r="K27" s="8"/>
    </row>
    <row r="28" spans="1:11" s="2" customFormat="1" ht="15">
      <c r="A28" s="103" t="s">
        <v>1</v>
      </c>
      <c r="B28" s="104"/>
      <c r="C28" s="27"/>
      <c r="D28" s="27"/>
      <c r="E28" s="27"/>
      <c r="F28" s="39"/>
      <c r="G28" s="27"/>
      <c r="H28" s="27"/>
      <c r="J28" s="20"/>
      <c r="K28" s="20"/>
    </row>
    <row r="29" spans="1:11" s="2" customFormat="1" ht="15">
      <c r="A29" s="98" t="s">
        <v>2</v>
      </c>
      <c r="B29" s="99"/>
      <c r="C29" s="29" t="s">
        <v>0</v>
      </c>
      <c r="D29" s="29" t="s">
        <v>19</v>
      </c>
      <c r="E29" s="29" t="s">
        <v>21</v>
      </c>
      <c r="F29" s="40" t="s">
        <v>23</v>
      </c>
      <c r="G29" s="29" t="s">
        <v>25</v>
      </c>
      <c r="H29" s="29" t="s">
        <v>27</v>
      </c>
      <c r="J29" s="21"/>
      <c r="K29" s="20"/>
    </row>
    <row r="30" spans="1:11" ht="15">
      <c r="A30" s="17" t="s">
        <v>3</v>
      </c>
      <c r="B30" s="18" t="s">
        <v>6</v>
      </c>
      <c r="C30" s="13">
        <f>3.509*33600</f>
        <v>117902.4</v>
      </c>
      <c r="D30" s="19">
        <f aca="true" t="shared" si="20" ref="D30:D35">SUM(C30*2)</f>
        <v>235804.8</v>
      </c>
      <c r="E30" s="19">
        <f aca="true" t="shared" si="21" ref="E30:E35">SUM(C30*3)</f>
        <v>353707.19999999995</v>
      </c>
      <c r="F30" s="19">
        <f aca="true" t="shared" si="22" ref="F30:F35">SUM(C30*4)</f>
        <v>471609.6</v>
      </c>
      <c r="G30" s="19">
        <f aca="true" t="shared" si="23" ref="G30:G35">SUM(C30*5)</f>
        <v>589512</v>
      </c>
      <c r="H30" s="19">
        <f aca="true" t="shared" si="24" ref="H30:H35">SUM(C30*6)</f>
        <v>707414.3999999999</v>
      </c>
      <c r="J30" s="11"/>
      <c r="K30" s="8"/>
    </row>
    <row r="31" spans="1:11" ht="15">
      <c r="A31" s="17" t="s">
        <v>4</v>
      </c>
      <c r="B31" s="18" t="s">
        <v>7</v>
      </c>
      <c r="C31" s="13">
        <f>3.509*33600</f>
        <v>117902.4</v>
      </c>
      <c r="D31" s="19">
        <f t="shared" si="20"/>
        <v>235804.8</v>
      </c>
      <c r="E31" s="19">
        <f t="shared" si="21"/>
        <v>353707.19999999995</v>
      </c>
      <c r="F31" s="19">
        <f t="shared" si="22"/>
        <v>471609.6</v>
      </c>
      <c r="G31" s="19">
        <f t="shared" si="23"/>
        <v>589512</v>
      </c>
      <c r="H31" s="19">
        <f t="shared" si="24"/>
        <v>707414.3999999999</v>
      </c>
      <c r="J31" s="11"/>
      <c r="K31" s="8"/>
    </row>
    <row r="32" spans="1:11" ht="15">
      <c r="A32" s="17" t="s">
        <v>14</v>
      </c>
      <c r="B32" s="18" t="s">
        <v>8</v>
      </c>
      <c r="C32" s="13">
        <f>2.193*33600</f>
        <v>73684.8</v>
      </c>
      <c r="D32" s="19">
        <f t="shared" si="20"/>
        <v>147369.6</v>
      </c>
      <c r="E32" s="19">
        <f t="shared" si="21"/>
        <v>221054.40000000002</v>
      </c>
      <c r="F32" s="19">
        <f t="shared" si="22"/>
        <v>294739.2</v>
      </c>
      <c r="G32" s="19">
        <f t="shared" si="23"/>
        <v>368424</v>
      </c>
      <c r="H32" s="19">
        <f t="shared" si="24"/>
        <v>442108.80000000005</v>
      </c>
      <c r="J32" s="11"/>
      <c r="K32" s="8"/>
    </row>
    <row r="33" spans="1:11" ht="15">
      <c r="A33" s="17" t="s">
        <v>12</v>
      </c>
      <c r="B33" s="18" t="s">
        <v>11</v>
      </c>
      <c r="C33" s="13">
        <f>1.755*33600</f>
        <v>58968</v>
      </c>
      <c r="D33" s="19">
        <f t="shared" si="20"/>
        <v>117936</v>
      </c>
      <c r="E33" s="19">
        <f t="shared" si="21"/>
        <v>176904</v>
      </c>
      <c r="F33" s="19">
        <f t="shared" si="22"/>
        <v>235872</v>
      </c>
      <c r="G33" s="19">
        <f t="shared" si="23"/>
        <v>294840</v>
      </c>
      <c r="H33" s="19">
        <f t="shared" si="24"/>
        <v>353808</v>
      </c>
      <c r="J33" s="11"/>
      <c r="K33" s="8"/>
    </row>
    <row r="34" spans="1:11" ht="15">
      <c r="A34" s="17" t="s">
        <v>10</v>
      </c>
      <c r="B34" s="18" t="s">
        <v>9</v>
      </c>
      <c r="C34" s="13">
        <f>1.316*33600</f>
        <v>44217.6</v>
      </c>
      <c r="D34" s="19">
        <f t="shared" si="20"/>
        <v>88435.2</v>
      </c>
      <c r="E34" s="19">
        <f t="shared" si="21"/>
        <v>132652.8</v>
      </c>
      <c r="F34" s="19">
        <f t="shared" si="22"/>
        <v>176870.4</v>
      </c>
      <c r="G34" s="19">
        <f t="shared" si="23"/>
        <v>221088</v>
      </c>
      <c r="H34" s="19">
        <f t="shared" si="24"/>
        <v>265305.6</v>
      </c>
      <c r="J34" s="11"/>
      <c r="K34" s="8"/>
    </row>
    <row r="35" spans="1:11" ht="15">
      <c r="A35" s="17" t="s">
        <v>5</v>
      </c>
      <c r="B35" s="18" t="s">
        <v>13</v>
      </c>
      <c r="C35" s="19">
        <f>0.877*33600</f>
        <v>29467.2</v>
      </c>
      <c r="D35" s="19">
        <f t="shared" si="20"/>
        <v>58934.4</v>
      </c>
      <c r="E35" s="19">
        <f t="shared" si="21"/>
        <v>88401.6</v>
      </c>
      <c r="F35" s="19">
        <f t="shared" si="22"/>
        <v>117868.8</v>
      </c>
      <c r="G35" s="19">
        <f t="shared" si="23"/>
        <v>147336</v>
      </c>
      <c r="H35" s="19">
        <f t="shared" si="24"/>
        <v>176803.2</v>
      </c>
      <c r="J35" s="11"/>
      <c r="K35" s="8"/>
    </row>
    <row r="68" spans="1:6" ht="15">
      <c r="A68" s="100" t="s">
        <v>61</v>
      </c>
      <c r="B68" s="101"/>
      <c r="C68" s="101"/>
      <c r="D68" s="101"/>
      <c r="E68" s="101"/>
      <c r="F68" s="102"/>
    </row>
    <row r="70" spans="1:6" ht="18" customHeight="1">
      <c r="A70" s="41" t="s">
        <v>60</v>
      </c>
      <c r="B70" s="41"/>
      <c r="C70" s="41"/>
      <c r="D70" s="42" t="s">
        <v>35</v>
      </c>
      <c r="E70" s="42" t="s">
        <v>36</v>
      </c>
      <c r="F70" s="43" t="s">
        <v>37</v>
      </c>
    </row>
    <row r="71" spans="1:6" ht="18" customHeight="1">
      <c r="A71" s="3" t="s">
        <v>38</v>
      </c>
      <c r="B71" s="4"/>
      <c r="C71" s="7"/>
      <c r="D71" s="26">
        <v>330</v>
      </c>
      <c r="E71" s="25">
        <f>0.009*33600</f>
        <v>302.4</v>
      </c>
      <c r="F71" s="25">
        <f aca="true" t="shared" si="25" ref="F71:F103">SUM(D71*E71)</f>
        <v>99791.99999999999</v>
      </c>
    </row>
    <row r="72" spans="1:6" ht="18" customHeight="1">
      <c r="A72" s="22" t="s">
        <v>40</v>
      </c>
      <c r="B72" s="23"/>
      <c r="C72" s="24"/>
      <c r="D72" s="26">
        <v>948</v>
      </c>
      <c r="E72" s="25">
        <f aca="true" t="shared" si="26" ref="E72:E103">0.009*33600</f>
        <v>302.4</v>
      </c>
      <c r="F72" s="25">
        <f t="shared" si="25"/>
        <v>286675.19999999995</v>
      </c>
    </row>
    <row r="73" spans="1:6" ht="18" customHeight="1">
      <c r="A73" s="9" t="s">
        <v>32</v>
      </c>
      <c r="B73" s="8"/>
      <c r="C73" s="10"/>
      <c r="D73" s="26">
        <v>526</v>
      </c>
      <c r="E73" s="25">
        <f t="shared" si="26"/>
        <v>302.4</v>
      </c>
      <c r="F73" s="25">
        <f t="shared" si="25"/>
        <v>159062.4</v>
      </c>
    </row>
    <row r="74" spans="1:6" ht="18" customHeight="1">
      <c r="A74" s="22" t="s">
        <v>42</v>
      </c>
      <c r="B74" s="23"/>
      <c r="C74" s="24"/>
      <c r="D74" s="26">
        <v>1360</v>
      </c>
      <c r="E74" s="25">
        <f t="shared" si="26"/>
        <v>302.4</v>
      </c>
      <c r="F74" s="25">
        <f t="shared" si="25"/>
        <v>411263.99999999994</v>
      </c>
    </row>
    <row r="75" spans="1:6" ht="18" customHeight="1">
      <c r="A75" s="9" t="s">
        <v>33</v>
      </c>
      <c r="B75" s="8"/>
      <c r="C75" s="10"/>
      <c r="D75" s="26">
        <v>404</v>
      </c>
      <c r="E75" s="25">
        <f t="shared" si="26"/>
        <v>302.4</v>
      </c>
      <c r="F75" s="25">
        <f t="shared" si="25"/>
        <v>122169.59999999999</v>
      </c>
    </row>
    <row r="76" spans="1:6" ht="18" customHeight="1">
      <c r="A76" s="22" t="s">
        <v>34</v>
      </c>
      <c r="B76" s="23"/>
      <c r="C76" s="24"/>
      <c r="D76" s="26">
        <v>944</v>
      </c>
      <c r="E76" s="25">
        <f t="shared" si="26"/>
        <v>302.4</v>
      </c>
      <c r="F76" s="25">
        <f t="shared" si="25"/>
        <v>285465.6</v>
      </c>
    </row>
    <row r="77" spans="1:6" ht="18" customHeight="1">
      <c r="A77" s="9" t="s">
        <v>50</v>
      </c>
      <c r="B77" s="8"/>
      <c r="C77" s="10"/>
      <c r="D77" s="26">
        <v>338</v>
      </c>
      <c r="E77" s="25">
        <f t="shared" si="26"/>
        <v>302.4</v>
      </c>
      <c r="F77" s="25">
        <f t="shared" si="25"/>
        <v>102211.2</v>
      </c>
    </row>
    <row r="78" spans="1:6" ht="18" customHeight="1">
      <c r="A78" s="22" t="s">
        <v>54</v>
      </c>
      <c r="B78" s="23"/>
      <c r="C78" s="24"/>
      <c r="D78" s="26">
        <v>2316</v>
      </c>
      <c r="E78" s="25">
        <f t="shared" si="26"/>
        <v>302.4</v>
      </c>
      <c r="F78" s="25">
        <f t="shared" si="25"/>
        <v>700358.3999999999</v>
      </c>
    </row>
    <row r="79" spans="1:6" ht="18" customHeight="1">
      <c r="A79" s="9" t="s">
        <v>53</v>
      </c>
      <c r="B79" s="8"/>
      <c r="C79" s="10"/>
      <c r="D79" s="26">
        <v>1978</v>
      </c>
      <c r="E79" s="25">
        <f t="shared" si="26"/>
        <v>302.4</v>
      </c>
      <c r="F79" s="25">
        <f t="shared" si="25"/>
        <v>598147.2</v>
      </c>
    </row>
    <row r="80" spans="1:6" ht="18" customHeight="1">
      <c r="A80" s="22" t="s">
        <v>56</v>
      </c>
      <c r="B80" s="23"/>
      <c r="C80" s="24"/>
      <c r="D80" s="26">
        <v>1042</v>
      </c>
      <c r="E80" s="25">
        <f t="shared" si="26"/>
        <v>302.4</v>
      </c>
      <c r="F80" s="25">
        <f t="shared" si="25"/>
        <v>315100.8</v>
      </c>
    </row>
    <row r="81" spans="1:6" ht="18" customHeight="1">
      <c r="A81" s="9" t="s">
        <v>43</v>
      </c>
      <c r="B81" s="8"/>
      <c r="C81" s="10"/>
      <c r="D81" s="26">
        <v>1130</v>
      </c>
      <c r="E81" s="25">
        <f t="shared" si="26"/>
        <v>302.4</v>
      </c>
      <c r="F81" s="25">
        <f t="shared" si="25"/>
        <v>341712</v>
      </c>
    </row>
    <row r="82" spans="1:6" ht="18" customHeight="1">
      <c r="A82" s="22" t="s">
        <v>45</v>
      </c>
      <c r="B82" s="23"/>
      <c r="C82" s="24"/>
      <c r="D82" s="26">
        <v>486</v>
      </c>
      <c r="E82" s="25">
        <f t="shared" si="26"/>
        <v>302.4</v>
      </c>
      <c r="F82" s="25">
        <f t="shared" si="25"/>
        <v>146966.4</v>
      </c>
    </row>
    <row r="83" spans="1:6" ht="18" customHeight="1">
      <c r="A83" s="9" t="s">
        <v>57</v>
      </c>
      <c r="B83" s="8"/>
      <c r="C83" s="10"/>
      <c r="D83" s="26">
        <v>482</v>
      </c>
      <c r="E83" s="25">
        <f t="shared" si="26"/>
        <v>302.4</v>
      </c>
      <c r="F83" s="25">
        <f t="shared" si="25"/>
        <v>145756.8</v>
      </c>
    </row>
    <row r="84" spans="1:6" ht="18" customHeight="1">
      <c r="A84" s="22" t="s">
        <v>46</v>
      </c>
      <c r="B84" s="23"/>
      <c r="C84" s="24"/>
      <c r="D84" s="26">
        <v>428</v>
      </c>
      <c r="E84" s="25">
        <f t="shared" si="26"/>
        <v>302.4</v>
      </c>
      <c r="F84" s="25">
        <f t="shared" si="25"/>
        <v>129427.2</v>
      </c>
    </row>
    <row r="85" spans="1:6" ht="18" customHeight="1">
      <c r="A85" s="9" t="s">
        <v>47</v>
      </c>
      <c r="B85" s="8"/>
      <c r="C85" s="10"/>
      <c r="D85" s="26">
        <v>1728</v>
      </c>
      <c r="E85" s="25">
        <f t="shared" si="26"/>
        <v>302.4</v>
      </c>
      <c r="F85" s="25">
        <f t="shared" si="25"/>
        <v>522547.19999999995</v>
      </c>
    </row>
    <row r="86" spans="1:6" ht="18" customHeight="1">
      <c r="A86" s="22" t="s">
        <v>48</v>
      </c>
      <c r="B86" s="23"/>
      <c r="C86" s="24"/>
      <c r="D86" s="26">
        <v>814</v>
      </c>
      <c r="E86" s="25">
        <f t="shared" si="26"/>
        <v>302.4</v>
      </c>
      <c r="F86" s="25">
        <f t="shared" si="25"/>
        <v>246153.59999999998</v>
      </c>
    </row>
    <row r="87" spans="1:6" ht="18" customHeight="1">
      <c r="A87" s="9" t="s">
        <v>49</v>
      </c>
      <c r="B87" s="8"/>
      <c r="C87" s="10"/>
      <c r="D87" s="26">
        <v>912</v>
      </c>
      <c r="E87" s="25">
        <f t="shared" si="26"/>
        <v>302.4</v>
      </c>
      <c r="F87" s="25">
        <f t="shared" si="25"/>
        <v>275788.8</v>
      </c>
    </row>
    <row r="88" spans="1:6" ht="18" customHeight="1">
      <c r="A88" s="22" t="s">
        <v>59</v>
      </c>
      <c r="B88" s="23"/>
      <c r="C88" s="24"/>
      <c r="D88" s="26">
        <v>1028</v>
      </c>
      <c r="E88" s="25">
        <f t="shared" si="26"/>
        <v>302.4</v>
      </c>
      <c r="F88" s="25">
        <f t="shared" si="25"/>
        <v>310867.19999999995</v>
      </c>
    </row>
    <row r="89" spans="1:6" ht="18" customHeight="1">
      <c r="A89" s="9" t="s">
        <v>39</v>
      </c>
      <c r="B89" s="8"/>
      <c r="C89" s="10"/>
      <c r="D89" s="26">
        <v>874</v>
      </c>
      <c r="E89" s="25">
        <f t="shared" si="26"/>
        <v>302.4</v>
      </c>
      <c r="F89" s="25">
        <f t="shared" si="25"/>
        <v>264297.6</v>
      </c>
    </row>
    <row r="90" spans="1:6" ht="18" customHeight="1">
      <c r="A90" s="22" t="s">
        <v>41</v>
      </c>
      <c r="B90" s="23"/>
      <c r="C90" s="24"/>
      <c r="D90" s="26">
        <v>602</v>
      </c>
      <c r="E90" s="25">
        <f t="shared" si="26"/>
        <v>302.4</v>
      </c>
      <c r="F90" s="25">
        <f t="shared" si="25"/>
        <v>182044.8</v>
      </c>
    </row>
    <row r="91" spans="1:6" ht="18" customHeight="1">
      <c r="A91" s="9" t="s">
        <v>52</v>
      </c>
      <c r="B91" s="8"/>
      <c r="C91" s="10"/>
      <c r="D91" s="26">
        <v>744</v>
      </c>
      <c r="E91" s="25">
        <f t="shared" si="26"/>
        <v>302.4</v>
      </c>
      <c r="F91" s="25">
        <f t="shared" si="25"/>
        <v>224985.59999999998</v>
      </c>
    </row>
    <row r="92" spans="1:6" ht="18" customHeight="1">
      <c r="A92" s="22" t="s">
        <v>58</v>
      </c>
      <c r="B92" s="23"/>
      <c r="C92" s="24"/>
      <c r="D92" s="26">
        <v>1070</v>
      </c>
      <c r="E92" s="25">
        <f t="shared" si="26"/>
        <v>302.4</v>
      </c>
      <c r="F92" s="25">
        <f t="shared" si="25"/>
        <v>323568</v>
      </c>
    </row>
    <row r="93" spans="1:6" ht="18" customHeight="1">
      <c r="A93" s="9" t="s">
        <v>51</v>
      </c>
      <c r="B93" s="8"/>
      <c r="C93" s="10"/>
      <c r="D93" s="26">
        <v>1316</v>
      </c>
      <c r="E93" s="25">
        <f t="shared" si="26"/>
        <v>302.4</v>
      </c>
      <c r="F93" s="25">
        <f t="shared" si="25"/>
        <v>397958.39999999997</v>
      </c>
    </row>
    <row r="94" spans="1:6" ht="18" customHeight="1">
      <c r="A94" s="22" t="s">
        <v>44</v>
      </c>
      <c r="B94" s="23"/>
      <c r="C94" s="24"/>
      <c r="D94" s="26">
        <v>1632</v>
      </c>
      <c r="E94" s="25">
        <f t="shared" si="26"/>
        <v>302.4</v>
      </c>
      <c r="F94" s="25">
        <f t="shared" si="25"/>
        <v>493516.8</v>
      </c>
    </row>
    <row r="95" spans="1:6" ht="18" customHeight="1">
      <c r="A95" s="5" t="s">
        <v>55</v>
      </c>
      <c r="B95" s="6"/>
      <c r="C95" s="12"/>
      <c r="D95" s="26">
        <v>1414</v>
      </c>
      <c r="E95" s="25">
        <f t="shared" si="26"/>
        <v>302.4</v>
      </c>
      <c r="F95" s="25">
        <f t="shared" si="25"/>
        <v>427593.6</v>
      </c>
    </row>
    <row r="96" spans="1:6" ht="18" customHeight="1">
      <c r="A96" s="22" t="s">
        <v>62</v>
      </c>
      <c r="B96" s="23"/>
      <c r="C96" s="24"/>
      <c r="D96" s="26">
        <v>316</v>
      </c>
      <c r="E96" s="25">
        <f t="shared" si="26"/>
        <v>302.4</v>
      </c>
      <c r="F96" s="25">
        <f t="shared" si="25"/>
        <v>95558.4</v>
      </c>
    </row>
    <row r="97" spans="1:6" ht="18" customHeight="1">
      <c r="A97" s="5" t="s">
        <v>67</v>
      </c>
      <c r="B97" s="6"/>
      <c r="C97" s="12"/>
      <c r="D97" s="26">
        <v>66</v>
      </c>
      <c r="E97" s="25">
        <f t="shared" si="26"/>
        <v>302.4</v>
      </c>
      <c r="F97" s="25">
        <f t="shared" si="25"/>
        <v>19958.399999999998</v>
      </c>
    </row>
    <row r="98" spans="1:6" ht="15">
      <c r="A98" s="5" t="s">
        <v>64</v>
      </c>
      <c r="B98" s="6"/>
      <c r="C98" s="12"/>
      <c r="D98" s="26">
        <v>1140</v>
      </c>
      <c r="E98" s="25">
        <f t="shared" si="26"/>
        <v>302.4</v>
      </c>
      <c r="F98" s="25">
        <f t="shared" si="25"/>
        <v>344736</v>
      </c>
    </row>
    <row r="99" spans="1:6" ht="15">
      <c r="A99" s="5" t="s">
        <v>66</v>
      </c>
      <c r="B99" s="6"/>
      <c r="C99" s="12"/>
      <c r="D99" s="26">
        <v>1412</v>
      </c>
      <c r="E99" s="25">
        <f t="shared" si="26"/>
        <v>302.4</v>
      </c>
      <c r="F99" s="25">
        <f t="shared" si="25"/>
        <v>426988.8</v>
      </c>
    </row>
    <row r="100" spans="1:6" ht="15">
      <c r="A100" s="5" t="s">
        <v>65</v>
      </c>
      <c r="B100" s="6"/>
      <c r="C100" s="12"/>
      <c r="D100" s="26">
        <v>1580</v>
      </c>
      <c r="E100" s="25">
        <f t="shared" si="26"/>
        <v>302.4</v>
      </c>
      <c r="F100" s="25">
        <f t="shared" si="25"/>
        <v>477791.99999999994</v>
      </c>
    </row>
    <row r="101" spans="1:6" ht="15">
      <c r="A101" s="5" t="s">
        <v>68</v>
      </c>
      <c r="B101" s="6"/>
      <c r="C101" s="12"/>
      <c r="D101" s="26">
        <v>1878</v>
      </c>
      <c r="E101" s="25">
        <f t="shared" si="26"/>
        <v>302.4</v>
      </c>
      <c r="F101" s="25">
        <f t="shared" si="25"/>
        <v>567907.2</v>
      </c>
    </row>
    <row r="102" spans="1:6" ht="15">
      <c r="A102" s="5" t="s">
        <v>69</v>
      </c>
      <c r="B102" s="6"/>
      <c r="C102" s="12"/>
      <c r="D102" s="26">
        <v>1042</v>
      </c>
      <c r="E102" s="25">
        <f t="shared" si="26"/>
        <v>302.4</v>
      </c>
      <c r="F102" s="25">
        <f t="shared" si="25"/>
        <v>315100.8</v>
      </c>
    </row>
    <row r="103" spans="1:6" ht="15">
      <c r="A103" s="5" t="s">
        <v>70</v>
      </c>
      <c r="B103" s="6"/>
      <c r="C103" s="12"/>
      <c r="D103" s="26">
        <v>416</v>
      </c>
      <c r="E103" s="25">
        <f t="shared" si="26"/>
        <v>302.4</v>
      </c>
      <c r="F103" s="25">
        <f t="shared" si="25"/>
        <v>125798.4</v>
      </c>
    </row>
    <row r="104" spans="5:6" ht="14.25">
      <c r="E104" s="14"/>
      <c r="F104" s="14"/>
    </row>
    <row r="105" spans="5:6" ht="14.25">
      <c r="E105" s="14"/>
      <c r="F105" s="14"/>
    </row>
  </sheetData>
  <sheetProtection/>
  <mergeCells count="11">
    <mergeCell ref="A1:N1"/>
    <mergeCell ref="A2:N2"/>
    <mergeCell ref="A3:C3"/>
    <mergeCell ref="A5:B5"/>
    <mergeCell ref="A28:B28"/>
    <mergeCell ref="A29:B29"/>
    <mergeCell ref="A68:F68"/>
    <mergeCell ref="A6:B6"/>
    <mergeCell ref="A17:B17"/>
    <mergeCell ref="A18:B18"/>
    <mergeCell ref="A26:C26"/>
  </mergeCells>
  <printOptions/>
  <pageMargins left="0.75" right="0.75" top="1" bottom="1" header="0" footer="0"/>
  <pageSetup horizontalDpi="600" verticalDpi="600" orientation="landscape" paperSize="121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60" zoomScaleNormal="55" zoomScalePageLayoutView="0" workbookViewId="0" topLeftCell="A9">
      <selection activeCell="B1" sqref="A1:O47"/>
    </sheetView>
  </sheetViews>
  <sheetFormatPr defaultColWidth="11.421875" defaultRowHeight="12.75"/>
  <cols>
    <col min="1" max="1" width="8.140625" style="1" customWidth="1"/>
    <col min="2" max="2" width="16.8515625" style="1" customWidth="1"/>
    <col min="3" max="3" width="4.28125" style="1" customWidth="1"/>
    <col min="4" max="4" width="19.57421875" style="1" customWidth="1"/>
    <col min="5" max="5" width="19.28125" style="1" bestFit="1" customWidth="1"/>
    <col min="6" max="6" width="17.8515625" style="1" customWidth="1"/>
    <col min="7" max="7" width="19.28125" style="1" bestFit="1" customWidth="1"/>
    <col min="8" max="8" width="20.00390625" style="1" customWidth="1"/>
    <col min="9" max="9" width="18.57421875" style="1" customWidth="1"/>
    <col min="10" max="10" width="18.00390625" style="1" customWidth="1"/>
    <col min="11" max="11" width="19.8515625" style="1" customWidth="1"/>
    <col min="12" max="13" width="20.8515625" style="1" bestFit="1" customWidth="1"/>
    <col min="14" max="14" width="19.57421875" style="1" customWidth="1"/>
    <col min="15" max="15" width="18.7109375" style="1" customWidth="1"/>
    <col min="16" max="16384" width="11.421875" style="1" customWidth="1"/>
  </cols>
  <sheetData>
    <row r="1" spans="2:15" s="47" customFormat="1" ht="18">
      <c r="B1" s="113" t="s">
        <v>101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46" customFormat="1" ht="18">
      <c r="A2" s="91"/>
      <c r="B2" s="114" t="s">
        <v>102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8">
      <c r="A3" s="72"/>
      <c r="B3" s="115" t="s">
        <v>15</v>
      </c>
      <c r="C3" s="116"/>
      <c r="D3" s="11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>
      <c r="A4" s="72"/>
      <c r="B4" s="73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2" customFormat="1" ht="18">
      <c r="A5" s="73"/>
      <c r="B5" s="118" t="s">
        <v>1</v>
      </c>
      <c r="C5" s="119"/>
      <c r="D5" s="74"/>
      <c r="E5" s="75"/>
      <c r="F5" s="74"/>
      <c r="G5" s="74"/>
      <c r="H5" s="74"/>
      <c r="I5" s="75"/>
      <c r="J5" s="74"/>
      <c r="K5" s="75"/>
      <c r="L5" s="74"/>
      <c r="M5" s="75"/>
      <c r="N5" s="74"/>
      <c r="O5" s="76" t="s">
        <v>31</v>
      </c>
    </row>
    <row r="6" spans="1:15" s="2" customFormat="1" ht="18">
      <c r="A6" s="73"/>
      <c r="B6" s="123" t="s">
        <v>2</v>
      </c>
      <c r="C6" s="124"/>
      <c r="D6" s="77" t="s">
        <v>0</v>
      </c>
      <c r="E6" s="78" t="s">
        <v>18</v>
      </c>
      <c r="F6" s="77" t="s">
        <v>19</v>
      </c>
      <c r="G6" s="77" t="s">
        <v>20</v>
      </c>
      <c r="H6" s="77" t="s">
        <v>21</v>
      </c>
      <c r="I6" s="78" t="s">
        <v>22</v>
      </c>
      <c r="J6" s="77" t="s">
        <v>23</v>
      </c>
      <c r="K6" s="78" t="s">
        <v>24</v>
      </c>
      <c r="L6" s="77" t="s">
        <v>25</v>
      </c>
      <c r="M6" s="78" t="s">
        <v>26</v>
      </c>
      <c r="N6" s="77" t="s">
        <v>27</v>
      </c>
      <c r="O6" s="95" t="s">
        <v>30</v>
      </c>
    </row>
    <row r="7" spans="1:15" ht="18">
      <c r="A7" s="72"/>
      <c r="B7" s="79" t="s">
        <v>3</v>
      </c>
      <c r="C7" s="80" t="s">
        <v>6</v>
      </c>
      <c r="D7" s="81">
        <f>1600000*2</f>
        <v>3200000</v>
      </c>
      <c r="E7" s="81">
        <f aca="true" t="shared" si="0" ref="E7:E12">SUM(D7+O7)</f>
        <v>4800000</v>
      </c>
      <c r="F7" s="81">
        <f aca="true" t="shared" si="1" ref="F7:F12">SUM(D7*2)</f>
        <v>6400000</v>
      </c>
      <c r="G7" s="81">
        <f aca="true" t="shared" si="2" ref="G7:G12">SUM(F7+O7)</f>
        <v>8000000</v>
      </c>
      <c r="H7" s="81">
        <f aca="true" t="shared" si="3" ref="H7:H12">SUM(D7*3)</f>
        <v>9600000</v>
      </c>
      <c r="I7" s="81">
        <f aca="true" t="shared" si="4" ref="I7:I12">SUM(H7+O7)</f>
        <v>11200000</v>
      </c>
      <c r="J7" s="81">
        <f aca="true" t="shared" si="5" ref="J7:J12">SUM(D7*4)</f>
        <v>12800000</v>
      </c>
      <c r="K7" s="81">
        <f aca="true" t="shared" si="6" ref="K7:K12">SUM(J7+O7)</f>
        <v>14400000</v>
      </c>
      <c r="L7" s="81">
        <f aca="true" t="shared" si="7" ref="L7:L12">SUM(D7*5)</f>
        <v>16000000</v>
      </c>
      <c r="M7" s="81">
        <f aca="true" t="shared" si="8" ref="M7:M12">SUM(L7+O7)</f>
        <v>17600000</v>
      </c>
      <c r="N7" s="81">
        <f aca="true" t="shared" si="9" ref="N7:N12">SUM(D7*6)</f>
        <v>19200000</v>
      </c>
      <c r="O7" s="82">
        <v>1600000</v>
      </c>
    </row>
    <row r="8" spans="1:15" ht="18">
      <c r="A8" s="72"/>
      <c r="B8" s="83" t="s">
        <v>4</v>
      </c>
      <c r="C8" s="84" t="s">
        <v>7</v>
      </c>
      <c r="D8" s="81">
        <f>+D7</f>
        <v>3200000</v>
      </c>
      <c r="E8" s="81">
        <f t="shared" si="0"/>
        <v>4800000</v>
      </c>
      <c r="F8" s="81">
        <f t="shared" si="1"/>
        <v>6400000</v>
      </c>
      <c r="G8" s="81">
        <f t="shared" si="2"/>
        <v>8000000</v>
      </c>
      <c r="H8" s="81">
        <f t="shared" si="3"/>
        <v>9600000</v>
      </c>
      <c r="I8" s="81">
        <f t="shared" si="4"/>
        <v>11200000</v>
      </c>
      <c r="J8" s="81">
        <f t="shared" si="5"/>
        <v>12800000</v>
      </c>
      <c r="K8" s="81">
        <f t="shared" si="6"/>
        <v>14400000</v>
      </c>
      <c r="L8" s="81">
        <f t="shared" si="7"/>
        <v>16000000</v>
      </c>
      <c r="M8" s="81">
        <f t="shared" si="8"/>
        <v>17600000</v>
      </c>
      <c r="N8" s="81">
        <f t="shared" si="9"/>
        <v>19200000</v>
      </c>
      <c r="O8" s="82">
        <f>+O7</f>
        <v>1600000</v>
      </c>
    </row>
    <row r="9" spans="1:15" ht="18">
      <c r="A9" s="72"/>
      <c r="B9" s="83" t="s">
        <v>14</v>
      </c>
      <c r="C9" s="84" t="s">
        <v>8</v>
      </c>
      <c r="D9" s="81">
        <f>1306800+1300000</f>
        <v>2606800</v>
      </c>
      <c r="E9" s="81">
        <f t="shared" si="0"/>
        <v>3906800</v>
      </c>
      <c r="F9" s="81">
        <f t="shared" si="1"/>
        <v>5213600</v>
      </c>
      <c r="G9" s="81">
        <f t="shared" si="2"/>
        <v>6513600</v>
      </c>
      <c r="H9" s="81">
        <f t="shared" si="3"/>
        <v>7820400</v>
      </c>
      <c r="I9" s="81">
        <f t="shared" si="4"/>
        <v>9120400</v>
      </c>
      <c r="J9" s="81">
        <f t="shared" si="5"/>
        <v>10427200</v>
      </c>
      <c r="K9" s="81">
        <f t="shared" si="6"/>
        <v>11727200</v>
      </c>
      <c r="L9" s="81">
        <f t="shared" si="7"/>
        <v>13034000</v>
      </c>
      <c r="M9" s="81">
        <f t="shared" si="8"/>
        <v>14334000</v>
      </c>
      <c r="N9" s="81">
        <f t="shared" si="9"/>
        <v>15640800</v>
      </c>
      <c r="O9" s="82">
        <v>1300000</v>
      </c>
    </row>
    <row r="10" spans="1:15" ht="18">
      <c r="A10" s="72"/>
      <c r="B10" s="83" t="s">
        <v>12</v>
      </c>
      <c r="C10" s="84" t="s">
        <v>11</v>
      </c>
      <c r="D10" s="81">
        <f>1283040+1200000</f>
        <v>2483040</v>
      </c>
      <c r="E10" s="81">
        <f t="shared" si="0"/>
        <v>3683040</v>
      </c>
      <c r="F10" s="81">
        <f t="shared" si="1"/>
        <v>4966080</v>
      </c>
      <c r="G10" s="81">
        <f t="shared" si="2"/>
        <v>6166080</v>
      </c>
      <c r="H10" s="81">
        <f t="shared" si="3"/>
        <v>7449120</v>
      </c>
      <c r="I10" s="81">
        <f t="shared" si="4"/>
        <v>8649120</v>
      </c>
      <c r="J10" s="81">
        <f t="shared" si="5"/>
        <v>9932160</v>
      </c>
      <c r="K10" s="81">
        <f t="shared" si="6"/>
        <v>11132160</v>
      </c>
      <c r="L10" s="81">
        <f t="shared" si="7"/>
        <v>12415200</v>
      </c>
      <c r="M10" s="81">
        <f t="shared" si="8"/>
        <v>13615200</v>
      </c>
      <c r="N10" s="81">
        <f t="shared" si="9"/>
        <v>14898240</v>
      </c>
      <c r="O10" s="82">
        <v>1200000</v>
      </c>
    </row>
    <row r="11" spans="1:15" ht="18">
      <c r="A11" s="72"/>
      <c r="B11" s="83" t="s">
        <v>10</v>
      </c>
      <c r="C11" s="84" t="s">
        <v>9</v>
      </c>
      <c r="D11" s="81">
        <f>851400+800000</f>
        <v>1651400</v>
      </c>
      <c r="E11" s="81">
        <f t="shared" si="0"/>
        <v>2451400</v>
      </c>
      <c r="F11" s="81">
        <f t="shared" si="1"/>
        <v>3302800</v>
      </c>
      <c r="G11" s="81">
        <f t="shared" si="2"/>
        <v>4102800</v>
      </c>
      <c r="H11" s="81">
        <f t="shared" si="3"/>
        <v>4954200</v>
      </c>
      <c r="I11" s="81">
        <f t="shared" si="4"/>
        <v>5754200</v>
      </c>
      <c r="J11" s="81">
        <f t="shared" si="5"/>
        <v>6605600</v>
      </c>
      <c r="K11" s="81">
        <f t="shared" si="6"/>
        <v>7405600</v>
      </c>
      <c r="L11" s="81">
        <f t="shared" si="7"/>
        <v>8257000</v>
      </c>
      <c r="M11" s="81">
        <f t="shared" si="8"/>
        <v>9057000</v>
      </c>
      <c r="N11" s="81">
        <f t="shared" si="9"/>
        <v>9908400</v>
      </c>
      <c r="O11" s="82">
        <v>800000</v>
      </c>
    </row>
    <row r="12" spans="1:15" ht="18">
      <c r="A12" s="72"/>
      <c r="B12" s="83" t="s">
        <v>5</v>
      </c>
      <c r="C12" s="84" t="s">
        <v>13</v>
      </c>
      <c r="D12" s="81">
        <f>570240+520000</f>
        <v>1090240</v>
      </c>
      <c r="E12" s="81">
        <f t="shared" si="0"/>
        <v>1610240</v>
      </c>
      <c r="F12" s="81">
        <f t="shared" si="1"/>
        <v>2180480</v>
      </c>
      <c r="G12" s="81">
        <f t="shared" si="2"/>
        <v>2700480</v>
      </c>
      <c r="H12" s="81">
        <f t="shared" si="3"/>
        <v>3270720</v>
      </c>
      <c r="I12" s="81">
        <f t="shared" si="4"/>
        <v>3790720</v>
      </c>
      <c r="J12" s="81">
        <f t="shared" si="5"/>
        <v>4360960</v>
      </c>
      <c r="K12" s="81">
        <f t="shared" si="6"/>
        <v>4880960</v>
      </c>
      <c r="L12" s="81">
        <f t="shared" si="7"/>
        <v>5451200</v>
      </c>
      <c r="M12" s="81">
        <f t="shared" si="8"/>
        <v>5971200</v>
      </c>
      <c r="N12" s="81">
        <f t="shared" si="9"/>
        <v>6541440</v>
      </c>
      <c r="O12" s="82">
        <v>520000</v>
      </c>
    </row>
    <row r="13" spans="1:15" ht="18">
      <c r="A13" s="72"/>
      <c r="B13" s="85"/>
      <c r="C13" s="72"/>
      <c r="D13" s="72"/>
      <c r="E13" s="72"/>
      <c r="F13" s="86"/>
      <c r="G13" s="86"/>
      <c r="H13" s="86"/>
      <c r="I13" s="86"/>
      <c r="J13" s="72"/>
      <c r="K13" s="72"/>
      <c r="L13" s="72"/>
      <c r="M13" s="72"/>
      <c r="N13" s="72"/>
      <c r="O13" s="72"/>
    </row>
    <row r="14" spans="1:15" ht="18">
      <c r="A14" s="72"/>
      <c r="B14" s="120" t="s">
        <v>81</v>
      </c>
      <c r="C14" s="121"/>
      <c r="D14" s="121"/>
      <c r="E14" s="121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8">
      <c r="A15" s="72"/>
      <c r="B15" s="7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s="2" customFormat="1" ht="18">
      <c r="A16" s="73"/>
      <c r="B16" s="118" t="s">
        <v>1</v>
      </c>
      <c r="C16" s="119"/>
      <c r="D16" s="74"/>
      <c r="E16" s="75"/>
      <c r="F16" s="74"/>
      <c r="G16" s="74"/>
      <c r="H16" s="74"/>
      <c r="I16" s="75"/>
      <c r="J16" s="74"/>
      <c r="K16" s="75"/>
      <c r="L16" s="74"/>
      <c r="M16" s="74"/>
      <c r="N16" s="74"/>
      <c r="O16" s="76" t="s">
        <v>31</v>
      </c>
    </row>
    <row r="17" spans="1:15" s="2" customFormat="1" ht="18">
      <c r="A17" s="73"/>
      <c r="B17" s="123" t="s">
        <v>2</v>
      </c>
      <c r="C17" s="124"/>
      <c r="D17" s="77" t="s">
        <v>0</v>
      </c>
      <c r="E17" s="78" t="s">
        <v>28</v>
      </c>
      <c r="F17" s="77" t="s">
        <v>29</v>
      </c>
      <c r="G17" s="77" t="s">
        <v>20</v>
      </c>
      <c r="H17" s="77" t="s">
        <v>21</v>
      </c>
      <c r="I17" s="78" t="s">
        <v>22</v>
      </c>
      <c r="J17" s="77" t="s">
        <v>23</v>
      </c>
      <c r="K17" s="78" t="s">
        <v>24</v>
      </c>
      <c r="L17" s="77" t="s">
        <v>25</v>
      </c>
      <c r="M17" s="78" t="s">
        <v>26</v>
      </c>
      <c r="N17" s="77" t="s">
        <v>27</v>
      </c>
      <c r="O17" s="95" t="s">
        <v>30</v>
      </c>
    </row>
    <row r="18" spans="1:15" ht="18">
      <c r="A18" s="72"/>
      <c r="B18" s="83" t="s">
        <v>3</v>
      </c>
      <c r="C18" s="84" t="s">
        <v>6</v>
      </c>
      <c r="D18" s="81">
        <f>1200000*2</f>
        <v>2400000</v>
      </c>
      <c r="E18" s="81">
        <f aca="true" t="shared" si="10" ref="E18:E23">SUM(D18+O18)</f>
        <v>3600000</v>
      </c>
      <c r="F18" s="81">
        <f aca="true" t="shared" si="11" ref="F18:F23">SUM(D18*2)</f>
        <v>4800000</v>
      </c>
      <c r="G18" s="81">
        <f aca="true" t="shared" si="12" ref="G18:G23">SUM(F18+O18)</f>
        <v>6000000</v>
      </c>
      <c r="H18" s="81">
        <f aca="true" t="shared" si="13" ref="H18:H23">SUM(D18*3)</f>
        <v>7200000</v>
      </c>
      <c r="I18" s="81">
        <f aca="true" t="shared" si="14" ref="I18:I23">SUM(H18+O18)</f>
        <v>8400000</v>
      </c>
      <c r="J18" s="81">
        <f aca="true" t="shared" si="15" ref="J18:J23">SUM(D18*4)</f>
        <v>9600000</v>
      </c>
      <c r="K18" s="81">
        <f aca="true" t="shared" si="16" ref="K18:K23">SUM(J18+O18)</f>
        <v>10800000</v>
      </c>
      <c r="L18" s="81">
        <f aca="true" t="shared" si="17" ref="L18:L23">SUM(D18*5)</f>
        <v>12000000</v>
      </c>
      <c r="M18" s="81">
        <f aca="true" t="shared" si="18" ref="M18:M23">SUM(L18+O18)</f>
        <v>13200000</v>
      </c>
      <c r="N18" s="81">
        <f aca="true" t="shared" si="19" ref="N18:N23">SUM(D18*6)</f>
        <v>14400000</v>
      </c>
      <c r="O18" s="82">
        <v>1200000</v>
      </c>
    </row>
    <row r="19" spans="1:15" ht="18">
      <c r="A19" s="72"/>
      <c r="B19" s="83" t="s">
        <v>4</v>
      </c>
      <c r="C19" s="84" t="s">
        <v>7</v>
      </c>
      <c r="D19" s="81">
        <v>2200000</v>
      </c>
      <c r="E19" s="81">
        <f t="shared" si="10"/>
        <v>3200000</v>
      </c>
      <c r="F19" s="81">
        <f t="shared" si="11"/>
        <v>4400000</v>
      </c>
      <c r="G19" s="81">
        <f t="shared" si="12"/>
        <v>5400000</v>
      </c>
      <c r="H19" s="81">
        <f t="shared" si="13"/>
        <v>6600000</v>
      </c>
      <c r="I19" s="81">
        <f t="shared" si="14"/>
        <v>7600000</v>
      </c>
      <c r="J19" s="81">
        <f t="shared" si="15"/>
        <v>8800000</v>
      </c>
      <c r="K19" s="81">
        <f t="shared" si="16"/>
        <v>9800000</v>
      </c>
      <c r="L19" s="81">
        <f t="shared" si="17"/>
        <v>11000000</v>
      </c>
      <c r="M19" s="81">
        <f t="shared" si="18"/>
        <v>12000000</v>
      </c>
      <c r="N19" s="81">
        <f t="shared" si="19"/>
        <v>13200000</v>
      </c>
      <c r="O19" s="82">
        <v>1000000</v>
      </c>
    </row>
    <row r="20" spans="1:15" ht="18">
      <c r="A20" s="72"/>
      <c r="B20" s="83" t="s">
        <v>14</v>
      </c>
      <c r="C20" s="84" t="s">
        <v>8</v>
      </c>
      <c r="D20" s="81">
        <f>970200+790272</f>
        <v>1760472</v>
      </c>
      <c r="E20" s="81">
        <f t="shared" si="10"/>
        <v>2550744</v>
      </c>
      <c r="F20" s="81">
        <f t="shared" si="11"/>
        <v>3520944</v>
      </c>
      <c r="G20" s="81">
        <f t="shared" si="12"/>
        <v>4311216</v>
      </c>
      <c r="H20" s="81">
        <f t="shared" si="13"/>
        <v>5281416</v>
      </c>
      <c r="I20" s="81">
        <f t="shared" si="14"/>
        <v>6071688</v>
      </c>
      <c r="J20" s="81">
        <f t="shared" si="15"/>
        <v>7041888</v>
      </c>
      <c r="K20" s="81">
        <f t="shared" si="16"/>
        <v>7832160</v>
      </c>
      <c r="L20" s="81">
        <f t="shared" si="17"/>
        <v>8802360</v>
      </c>
      <c r="M20" s="81">
        <f t="shared" si="18"/>
        <v>9592632</v>
      </c>
      <c r="N20" s="81">
        <f t="shared" si="19"/>
        <v>10562832</v>
      </c>
      <c r="O20" s="82">
        <v>790272</v>
      </c>
    </row>
    <row r="21" spans="1:15" ht="18">
      <c r="A21" s="72"/>
      <c r="B21" s="83" t="s">
        <v>12</v>
      </c>
      <c r="C21" s="84" t="s">
        <v>11</v>
      </c>
      <c r="D21" s="81">
        <f>+D20</f>
        <v>1760472</v>
      </c>
      <c r="E21" s="81">
        <f t="shared" si="10"/>
        <v>2550744</v>
      </c>
      <c r="F21" s="81">
        <f t="shared" si="11"/>
        <v>3520944</v>
      </c>
      <c r="G21" s="81">
        <f t="shared" si="12"/>
        <v>4311216</v>
      </c>
      <c r="H21" s="81">
        <f t="shared" si="13"/>
        <v>5281416</v>
      </c>
      <c r="I21" s="81">
        <f t="shared" si="14"/>
        <v>6071688</v>
      </c>
      <c r="J21" s="81">
        <f t="shared" si="15"/>
        <v>7041888</v>
      </c>
      <c r="K21" s="81">
        <f t="shared" si="16"/>
        <v>7832160</v>
      </c>
      <c r="L21" s="81">
        <f t="shared" si="17"/>
        <v>8802360</v>
      </c>
      <c r="M21" s="81">
        <f t="shared" si="18"/>
        <v>9592632</v>
      </c>
      <c r="N21" s="81">
        <f t="shared" si="19"/>
        <v>10562832</v>
      </c>
      <c r="O21" s="82">
        <f>+O20</f>
        <v>790272</v>
      </c>
    </row>
    <row r="22" spans="1:15" ht="18">
      <c r="A22" s="72"/>
      <c r="B22" s="83" t="s">
        <v>10</v>
      </c>
      <c r="C22" s="84" t="s">
        <v>9</v>
      </c>
      <c r="D22" s="81">
        <f>693000+564480</f>
        <v>1257480</v>
      </c>
      <c r="E22" s="81">
        <f t="shared" si="10"/>
        <v>1821960</v>
      </c>
      <c r="F22" s="81">
        <f t="shared" si="11"/>
        <v>2514960</v>
      </c>
      <c r="G22" s="81">
        <f t="shared" si="12"/>
        <v>3079440</v>
      </c>
      <c r="H22" s="81">
        <f t="shared" si="13"/>
        <v>3772440</v>
      </c>
      <c r="I22" s="81">
        <f t="shared" si="14"/>
        <v>4336920</v>
      </c>
      <c r="J22" s="81">
        <f t="shared" si="15"/>
        <v>5029920</v>
      </c>
      <c r="K22" s="81">
        <f t="shared" si="16"/>
        <v>5594400</v>
      </c>
      <c r="L22" s="81">
        <f t="shared" si="17"/>
        <v>6287400</v>
      </c>
      <c r="M22" s="81">
        <f t="shared" si="18"/>
        <v>6851880</v>
      </c>
      <c r="N22" s="81">
        <f t="shared" si="19"/>
        <v>7544880</v>
      </c>
      <c r="O22" s="82">
        <v>564480</v>
      </c>
    </row>
    <row r="23" spans="1:15" ht="18">
      <c r="A23" s="72"/>
      <c r="B23" s="83" t="s">
        <v>5</v>
      </c>
      <c r="C23" s="84" t="s">
        <v>13</v>
      </c>
      <c r="D23" s="81">
        <v>805000</v>
      </c>
      <c r="E23" s="81">
        <f t="shared" si="10"/>
        <v>1205000</v>
      </c>
      <c r="F23" s="81">
        <f t="shared" si="11"/>
        <v>1610000</v>
      </c>
      <c r="G23" s="81">
        <f t="shared" si="12"/>
        <v>2010000</v>
      </c>
      <c r="H23" s="81">
        <f t="shared" si="13"/>
        <v>2415000</v>
      </c>
      <c r="I23" s="81">
        <f t="shared" si="14"/>
        <v>2815000</v>
      </c>
      <c r="J23" s="81">
        <f t="shared" si="15"/>
        <v>3220000</v>
      </c>
      <c r="K23" s="81">
        <f t="shared" si="16"/>
        <v>3620000</v>
      </c>
      <c r="L23" s="81">
        <f t="shared" si="17"/>
        <v>4025000</v>
      </c>
      <c r="M23" s="81">
        <f t="shared" si="18"/>
        <v>4425000</v>
      </c>
      <c r="N23" s="81">
        <f t="shared" si="19"/>
        <v>4830000</v>
      </c>
      <c r="O23" s="82">
        <v>400000</v>
      </c>
    </row>
    <row r="24" spans="1:15" ht="18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8">
      <c r="A25" s="72"/>
      <c r="B25" s="128" t="s">
        <v>74</v>
      </c>
      <c r="C25" s="129"/>
      <c r="D25" s="130"/>
      <c r="E25" s="72"/>
      <c r="F25" s="72"/>
      <c r="G25" s="72"/>
      <c r="H25" s="72"/>
      <c r="I25" s="72"/>
      <c r="J25" s="72"/>
      <c r="K25" s="87"/>
      <c r="L25" s="87"/>
      <c r="M25" s="72"/>
      <c r="N25" s="72"/>
      <c r="O25" s="72"/>
    </row>
    <row r="26" spans="1:15" ht="18">
      <c r="A26" s="72"/>
      <c r="B26" s="73"/>
      <c r="C26" s="72"/>
      <c r="D26" s="72"/>
      <c r="E26" s="72"/>
      <c r="F26" s="72"/>
      <c r="G26" s="72"/>
      <c r="H26" s="72"/>
      <c r="I26" s="72"/>
      <c r="J26" s="72"/>
      <c r="K26" s="87"/>
      <c r="L26" s="87"/>
      <c r="M26" s="72"/>
      <c r="N26" s="72"/>
      <c r="O26" s="72"/>
    </row>
    <row r="27" spans="1:15" s="2" customFormat="1" ht="18">
      <c r="A27" s="73"/>
      <c r="B27" s="118" t="s">
        <v>1</v>
      </c>
      <c r="C27" s="119"/>
      <c r="D27" s="139" t="s">
        <v>0</v>
      </c>
      <c r="E27" s="139" t="s">
        <v>19</v>
      </c>
      <c r="F27" s="139" t="s">
        <v>21</v>
      </c>
      <c r="G27" s="139" t="s">
        <v>23</v>
      </c>
      <c r="H27" s="139" t="s">
        <v>25</v>
      </c>
      <c r="I27" s="139" t="s">
        <v>27</v>
      </c>
      <c r="J27" s="139" t="s">
        <v>73</v>
      </c>
      <c r="K27" s="122"/>
      <c r="L27" s="122"/>
      <c r="M27" s="73"/>
      <c r="N27" s="73"/>
      <c r="O27" s="73"/>
    </row>
    <row r="28" spans="1:15" s="2" customFormat="1" ht="18">
      <c r="A28" s="73"/>
      <c r="B28" s="123" t="s">
        <v>2</v>
      </c>
      <c r="C28" s="124"/>
      <c r="D28" s="140"/>
      <c r="E28" s="140"/>
      <c r="F28" s="140"/>
      <c r="G28" s="140"/>
      <c r="H28" s="140"/>
      <c r="I28" s="140"/>
      <c r="J28" s="140"/>
      <c r="K28" s="122"/>
      <c r="L28" s="122"/>
      <c r="M28" s="73"/>
      <c r="N28" s="73"/>
      <c r="O28" s="73"/>
    </row>
    <row r="29" spans="1:15" ht="18">
      <c r="A29" s="72"/>
      <c r="B29" s="83" t="s">
        <v>3</v>
      </c>
      <c r="C29" s="84" t="s">
        <v>6</v>
      </c>
      <c r="D29" s="82">
        <v>400000</v>
      </c>
      <c r="E29" s="82">
        <f aca="true" t="shared" si="20" ref="E29:E34">SUM(D29*2)</f>
        <v>800000</v>
      </c>
      <c r="F29" s="82">
        <f aca="true" t="shared" si="21" ref="F29:F34">SUM(D29*3)</f>
        <v>1200000</v>
      </c>
      <c r="G29" s="82">
        <f aca="true" t="shared" si="22" ref="G29:G34">SUM(D29*4)</f>
        <v>1600000</v>
      </c>
      <c r="H29" s="82">
        <f aca="true" t="shared" si="23" ref="H29:H34">SUM(D29*5)</f>
        <v>2000000</v>
      </c>
      <c r="I29" s="82">
        <f aca="true" t="shared" si="24" ref="I29:I34">SUM(D29*6)</f>
        <v>2400000</v>
      </c>
      <c r="J29" s="82">
        <f aca="true" t="shared" si="25" ref="J29:J34">SUM(D29*7)</f>
        <v>2800000</v>
      </c>
      <c r="K29" s="92"/>
      <c r="L29" s="92"/>
      <c r="M29" s="72"/>
      <c r="N29" s="72"/>
      <c r="O29" s="72"/>
    </row>
    <row r="30" spans="1:15" ht="18">
      <c r="A30" s="72"/>
      <c r="B30" s="83" t="s">
        <v>4</v>
      </c>
      <c r="C30" s="84" t="s">
        <v>7</v>
      </c>
      <c r="D30" s="82">
        <f>+D29</f>
        <v>400000</v>
      </c>
      <c r="E30" s="82">
        <f t="shared" si="20"/>
        <v>800000</v>
      </c>
      <c r="F30" s="82">
        <f t="shared" si="21"/>
        <v>1200000</v>
      </c>
      <c r="G30" s="82">
        <f t="shared" si="22"/>
        <v>1600000</v>
      </c>
      <c r="H30" s="82">
        <f t="shared" si="23"/>
        <v>2000000</v>
      </c>
      <c r="I30" s="82">
        <f t="shared" si="24"/>
        <v>2400000</v>
      </c>
      <c r="J30" s="82">
        <f t="shared" si="25"/>
        <v>2800000</v>
      </c>
      <c r="K30" s="92"/>
      <c r="L30" s="92"/>
      <c r="M30" s="72"/>
      <c r="N30" s="72"/>
      <c r="O30" s="72"/>
    </row>
    <row r="31" spans="1:15" ht="18">
      <c r="A31" s="72"/>
      <c r="B31" s="83" t="s">
        <v>14</v>
      </c>
      <c r="C31" s="84" t="s">
        <v>8</v>
      </c>
      <c r="D31" s="82">
        <f>+D30</f>
        <v>400000</v>
      </c>
      <c r="E31" s="82">
        <f t="shared" si="20"/>
        <v>800000</v>
      </c>
      <c r="F31" s="82">
        <f t="shared" si="21"/>
        <v>1200000</v>
      </c>
      <c r="G31" s="82">
        <f t="shared" si="22"/>
        <v>1600000</v>
      </c>
      <c r="H31" s="82">
        <f t="shared" si="23"/>
        <v>2000000</v>
      </c>
      <c r="I31" s="82">
        <f t="shared" si="24"/>
        <v>2400000</v>
      </c>
      <c r="J31" s="82">
        <f t="shared" si="25"/>
        <v>2800000</v>
      </c>
      <c r="K31" s="92"/>
      <c r="L31" s="92"/>
      <c r="M31" s="72"/>
      <c r="N31" s="72"/>
      <c r="O31" s="72"/>
    </row>
    <row r="32" spans="1:15" ht="18">
      <c r="A32" s="72"/>
      <c r="B32" s="83" t="s">
        <v>12</v>
      </c>
      <c r="C32" s="84" t="s">
        <v>11</v>
      </c>
      <c r="D32" s="82">
        <f>+D31</f>
        <v>400000</v>
      </c>
      <c r="E32" s="82">
        <f t="shared" si="20"/>
        <v>800000</v>
      </c>
      <c r="F32" s="82">
        <f t="shared" si="21"/>
        <v>1200000</v>
      </c>
      <c r="G32" s="82">
        <f t="shared" si="22"/>
        <v>1600000</v>
      </c>
      <c r="H32" s="82">
        <f t="shared" si="23"/>
        <v>2000000</v>
      </c>
      <c r="I32" s="82">
        <f t="shared" si="24"/>
        <v>2400000</v>
      </c>
      <c r="J32" s="82">
        <f t="shared" si="25"/>
        <v>2800000</v>
      </c>
      <c r="K32" s="92"/>
      <c r="L32" s="92"/>
      <c r="M32" s="72"/>
      <c r="N32" s="72"/>
      <c r="O32" s="72"/>
    </row>
    <row r="33" spans="1:15" ht="18">
      <c r="A33" s="72"/>
      <c r="B33" s="83" t="s">
        <v>10</v>
      </c>
      <c r="C33" s="84" t="s">
        <v>9</v>
      </c>
      <c r="D33" s="82">
        <f>+D32</f>
        <v>400000</v>
      </c>
      <c r="E33" s="82">
        <f t="shared" si="20"/>
        <v>800000</v>
      </c>
      <c r="F33" s="82">
        <f t="shared" si="21"/>
        <v>1200000</v>
      </c>
      <c r="G33" s="82">
        <f t="shared" si="22"/>
        <v>1600000</v>
      </c>
      <c r="H33" s="82">
        <f t="shared" si="23"/>
        <v>2000000</v>
      </c>
      <c r="I33" s="82">
        <f t="shared" si="24"/>
        <v>2400000</v>
      </c>
      <c r="J33" s="82">
        <f t="shared" si="25"/>
        <v>2800000</v>
      </c>
      <c r="K33" s="92"/>
      <c r="L33" s="92"/>
      <c r="M33" s="72"/>
      <c r="N33" s="72"/>
      <c r="O33" s="72"/>
    </row>
    <row r="34" spans="1:15" ht="18">
      <c r="A34" s="72"/>
      <c r="B34" s="83" t="s">
        <v>5</v>
      </c>
      <c r="C34" s="84" t="s">
        <v>13</v>
      </c>
      <c r="D34" s="82">
        <v>200000</v>
      </c>
      <c r="E34" s="82">
        <f t="shared" si="20"/>
        <v>400000</v>
      </c>
      <c r="F34" s="82">
        <f t="shared" si="21"/>
        <v>600000</v>
      </c>
      <c r="G34" s="82">
        <f t="shared" si="22"/>
        <v>800000</v>
      </c>
      <c r="H34" s="82">
        <f t="shared" si="23"/>
        <v>1000000</v>
      </c>
      <c r="I34" s="82">
        <f t="shared" si="24"/>
        <v>1200000</v>
      </c>
      <c r="J34" s="82">
        <f t="shared" si="25"/>
        <v>1400000</v>
      </c>
      <c r="K34" s="92"/>
      <c r="L34" s="92"/>
      <c r="M34" s="72"/>
      <c r="N34" s="72"/>
      <c r="O34" s="72"/>
    </row>
    <row r="35" spans="1:15" ht="18">
      <c r="A35" s="72"/>
      <c r="B35" s="93"/>
      <c r="C35" s="94"/>
      <c r="D35" s="92"/>
      <c r="E35" s="92"/>
      <c r="F35" s="92"/>
      <c r="G35" s="92"/>
      <c r="H35" s="92"/>
      <c r="I35" s="92"/>
      <c r="J35" s="92"/>
      <c r="K35" s="92"/>
      <c r="L35" s="92"/>
      <c r="M35" s="72"/>
      <c r="N35" s="72"/>
      <c r="O35" s="72"/>
    </row>
    <row r="36" spans="1:15" ht="18">
      <c r="A36" s="72"/>
      <c r="B36" s="93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72"/>
      <c r="N36" s="72"/>
      <c r="O36" s="72"/>
    </row>
    <row r="37" spans="1:15" ht="18">
      <c r="A37" s="72"/>
      <c r="B37" s="93"/>
      <c r="C37" s="94"/>
      <c r="D37" s="92"/>
      <c r="E37" s="92"/>
      <c r="F37" s="92"/>
      <c r="G37" s="92"/>
      <c r="H37" s="92"/>
      <c r="I37" s="92"/>
      <c r="J37" s="92"/>
      <c r="K37" s="92"/>
      <c r="L37" s="92"/>
      <c r="M37" s="72"/>
      <c r="N37" s="72"/>
      <c r="O37" s="72"/>
    </row>
    <row r="38" spans="1:15" ht="18">
      <c r="A38" s="72"/>
      <c r="B38" s="93" t="s">
        <v>82</v>
      </c>
      <c r="C38" s="94"/>
      <c r="D38" s="92"/>
      <c r="E38" s="92"/>
      <c r="F38" s="92"/>
      <c r="G38" s="92"/>
      <c r="H38" s="92"/>
      <c r="I38" s="92"/>
      <c r="J38" s="92"/>
      <c r="K38" s="92"/>
      <c r="L38" s="92"/>
      <c r="M38" s="72"/>
      <c r="N38" s="72"/>
      <c r="O38" s="72"/>
    </row>
    <row r="39" spans="1:15" ht="18">
      <c r="A39" s="72"/>
      <c r="B39" s="118" t="s">
        <v>1</v>
      </c>
      <c r="C39" s="119"/>
      <c r="D39" s="131" t="s">
        <v>0</v>
      </c>
      <c r="E39" s="131" t="s">
        <v>19</v>
      </c>
      <c r="F39" s="131" t="s">
        <v>21</v>
      </c>
      <c r="G39" s="131" t="s">
        <v>23</v>
      </c>
      <c r="H39" s="131" t="s">
        <v>25</v>
      </c>
      <c r="I39" s="131" t="s">
        <v>27</v>
      </c>
      <c r="J39" s="138" t="s">
        <v>73</v>
      </c>
      <c r="K39" s="76" t="s">
        <v>31</v>
      </c>
      <c r="L39" s="92"/>
      <c r="M39" s="72"/>
      <c r="N39" s="72"/>
      <c r="O39" s="72"/>
    </row>
    <row r="40" spans="1:15" ht="18">
      <c r="A40" s="72"/>
      <c r="B40" s="123" t="s">
        <v>2</v>
      </c>
      <c r="C40" s="124"/>
      <c r="D40" s="131"/>
      <c r="E40" s="131"/>
      <c r="F40" s="131"/>
      <c r="G40" s="131"/>
      <c r="H40" s="131"/>
      <c r="I40" s="131"/>
      <c r="J40" s="138"/>
      <c r="K40" s="95" t="s">
        <v>30</v>
      </c>
      <c r="L40" s="92"/>
      <c r="M40" s="72"/>
      <c r="N40" s="72"/>
      <c r="O40" s="72"/>
    </row>
    <row r="41" spans="1:15" ht="18">
      <c r="A41" s="72"/>
      <c r="B41" s="83" t="s">
        <v>3</v>
      </c>
      <c r="C41" s="84" t="s">
        <v>6</v>
      </c>
      <c r="D41" s="82">
        <f>475200+480000</f>
        <v>955200</v>
      </c>
      <c r="E41" s="82">
        <f aca="true" t="shared" si="26" ref="E41:E46">SUM(D41*2)</f>
        <v>1910400</v>
      </c>
      <c r="F41" s="82">
        <f aca="true" t="shared" si="27" ref="F41:F46">SUM(D41*3)</f>
        <v>2865600</v>
      </c>
      <c r="G41" s="82">
        <f aca="true" t="shared" si="28" ref="G41:G46">SUM(D41*4)</f>
        <v>3820800</v>
      </c>
      <c r="H41" s="82">
        <f aca="true" t="shared" si="29" ref="H41:H46">SUM(D41*5)</f>
        <v>4776000</v>
      </c>
      <c r="I41" s="82">
        <f aca="true" t="shared" si="30" ref="I41:I46">SUM(D41*6)</f>
        <v>5731200</v>
      </c>
      <c r="J41" s="82">
        <f aca="true" t="shared" si="31" ref="J41:J46">SUM(D41*7)</f>
        <v>6686400</v>
      </c>
      <c r="K41" s="81">
        <v>480000</v>
      </c>
      <c r="L41" s="92"/>
      <c r="M41" s="72"/>
      <c r="N41" s="72"/>
      <c r="O41" s="72"/>
    </row>
    <row r="42" spans="1:15" ht="18">
      <c r="A42" s="72"/>
      <c r="B42" s="83" t="s">
        <v>4</v>
      </c>
      <c r="C42" s="84" t="s">
        <v>7</v>
      </c>
      <c r="D42" s="82">
        <f>+D41</f>
        <v>955200</v>
      </c>
      <c r="E42" s="82">
        <f t="shared" si="26"/>
        <v>1910400</v>
      </c>
      <c r="F42" s="82">
        <f t="shared" si="27"/>
        <v>2865600</v>
      </c>
      <c r="G42" s="82">
        <f t="shared" si="28"/>
        <v>3820800</v>
      </c>
      <c r="H42" s="82">
        <f t="shared" si="29"/>
        <v>4776000</v>
      </c>
      <c r="I42" s="82">
        <f t="shared" si="30"/>
        <v>5731200</v>
      </c>
      <c r="J42" s="82">
        <f t="shared" si="31"/>
        <v>6686400</v>
      </c>
      <c r="K42" s="82">
        <f>+K41</f>
        <v>480000</v>
      </c>
      <c r="L42" s="92"/>
      <c r="M42" s="72"/>
      <c r="N42" s="72"/>
      <c r="O42" s="72"/>
    </row>
    <row r="43" spans="1:15" ht="18">
      <c r="A43" s="72"/>
      <c r="B43" s="83" t="s">
        <v>14</v>
      </c>
      <c r="C43" s="84" t="s">
        <v>8</v>
      </c>
      <c r="D43" s="82">
        <f>+D42</f>
        <v>955200</v>
      </c>
      <c r="E43" s="82">
        <f t="shared" si="26"/>
        <v>1910400</v>
      </c>
      <c r="F43" s="82">
        <f t="shared" si="27"/>
        <v>2865600</v>
      </c>
      <c r="G43" s="82">
        <f t="shared" si="28"/>
        <v>3820800</v>
      </c>
      <c r="H43" s="82">
        <f t="shared" si="29"/>
        <v>4776000</v>
      </c>
      <c r="I43" s="82">
        <f t="shared" si="30"/>
        <v>5731200</v>
      </c>
      <c r="J43" s="82">
        <f t="shared" si="31"/>
        <v>6686400</v>
      </c>
      <c r="K43" s="82">
        <f>+K42</f>
        <v>480000</v>
      </c>
      <c r="L43" s="92"/>
      <c r="M43" s="72"/>
      <c r="N43" s="72"/>
      <c r="O43" s="72"/>
    </row>
    <row r="44" spans="1:15" ht="18">
      <c r="A44" s="72"/>
      <c r="B44" s="83" t="s">
        <v>12</v>
      </c>
      <c r="C44" s="84" t="s">
        <v>11</v>
      </c>
      <c r="D44" s="82">
        <f>+D43</f>
        <v>955200</v>
      </c>
      <c r="E44" s="82">
        <f t="shared" si="26"/>
        <v>1910400</v>
      </c>
      <c r="F44" s="82">
        <f t="shared" si="27"/>
        <v>2865600</v>
      </c>
      <c r="G44" s="82">
        <f t="shared" si="28"/>
        <v>3820800</v>
      </c>
      <c r="H44" s="82">
        <f t="shared" si="29"/>
        <v>4776000</v>
      </c>
      <c r="I44" s="82">
        <f t="shared" si="30"/>
        <v>5731200</v>
      </c>
      <c r="J44" s="82">
        <f t="shared" si="31"/>
        <v>6686400</v>
      </c>
      <c r="K44" s="82">
        <f>+K43</f>
        <v>480000</v>
      </c>
      <c r="L44" s="92"/>
      <c r="M44" s="72"/>
      <c r="N44" s="72"/>
      <c r="O44" s="72"/>
    </row>
    <row r="45" spans="1:15" ht="18">
      <c r="A45" s="72"/>
      <c r="B45" s="83" t="s">
        <v>10</v>
      </c>
      <c r="C45" s="84" t="s">
        <v>9</v>
      </c>
      <c r="D45" s="82">
        <f>+D44</f>
        <v>955200</v>
      </c>
      <c r="E45" s="82">
        <f t="shared" si="26"/>
        <v>1910400</v>
      </c>
      <c r="F45" s="82">
        <f t="shared" si="27"/>
        <v>2865600</v>
      </c>
      <c r="G45" s="82">
        <f t="shared" si="28"/>
        <v>3820800</v>
      </c>
      <c r="H45" s="82">
        <f t="shared" si="29"/>
        <v>4776000</v>
      </c>
      <c r="I45" s="82">
        <f t="shared" si="30"/>
        <v>5731200</v>
      </c>
      <c r="J45" s="82">
        <f t="shared" si="31"/>
        <v>6686400</v>
      </c>
      <c r="K45" s="82">
        <f>+K44</f>
        <v>480000</v>
      </c>
      <c r="L45" s="72"/>
      <c r="M45" s="72"/>
      <c r="N45" s="72"/>
      <c r="O45" s="72"/>
    </row>
    <row r="46" spans="1:15" ht="18">
      <c r="A46" s="72"/>
      <c r="B46" s="83" t="s">
        <v>5</v>
      </c>
      <c r="C46" s="84" t="s">
        <v>13</v>
      </c>
      <c r="D46" s="82">
        <f>237600+240000</f>
        <v>477600</v>
      </c>
      <c r="E46" s="82">
        <f t="shared" si="26"/>
        <v>955200</v>
      </c>
      <c r="F46" s="82">
        <f t="shared" si="27"/>
        <v>1432800</v>
      </c>
      <c r="G46" s="82">
        <f t="shared" si="28"/>
        <v>1910400</v>
      </c>
      <c r="H46" s="82">
        <f t="shared" si="29"/>
        <v>2388000</v>
      </c>
      <c r="I46" s="82">
        <f t="shared" si="30"/>
        <v>2865600</v>
      </c>
      <c r="J46" s="82">
        <f t="shared" si="31"/>
        <v>3343200</v>
      </c>
      <c r="K46" s="82">
        <v>240000</v>
      </c>
      <c r="L46" s="72"/>
      <c r="M46" s="72"/>
      <c r="N46" s="72"/>
      <c r="O46" s="72"/>
    </row>
    <row r="47" spans="1:15" s="97" customFormat="1" ht="18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s="97" customFormat="1" ht="18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s="97" customFormat="1" ht="18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97" customFormat="1" ht="18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s="97" customFormat="1" ht="18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s="97" customFormat="1" ht="18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s="97" customFormat="1" ht="18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1:15" s="97" customFormat="1" ht="18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15" s="97" customFormat="1" ht="18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15" s="97" customFormat="1" ht="18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ht="18">
      <c r="A57" s="72"/>
      <c r="B57" s="125" t="s">
        <v>61</v>
      </c>
      <c r="C57" s="126"/>
      <c r="D57" s="126"/>
      <c r="E57" s="126"/>
      <c r="F57" s="126"/>
      <c r="G57" s="127"/>
      <c r="H57" s="72"/>
      <c r="I57" s="72"/>
      <c r="J57" s="72"/>
      <c r="K57" s="72"/>
      <c r="L57" s="72"/>
      <c r="M57" s="72"/>
      <c r="N57" s="72"/>
      <c r="O57" s="72"/>
    </row>
    <row r="58" spans="1:15" ht="18" customHeight="1">
      <c r="A58" s="72"/>
      <c r="B58" s="88" t="s">
        <v>60</v>
      </c>
      <c r="C58" s="88"/>
      <c r="D58" s="88"/>
      <c r="E58" s="89" t="s">
        <v>35</v>
      </c>
      <c r="F58" s="89" t="s">
        <v>36</v>
      </c>
      <c r="G58" s="88" t="s">
        <v>37</v>
      </c>
      <c r="H58" s="72"/>
      <c r="I58" s="88" t="s">
        <v>60</v>
      </c>
      <c r="J58" s="88"/>
      <c r="K58" s="88"/>
      <c r="L58" s="89" t="s">
        <v>35</v>
      </c>
      <c r="M58" s="89" t="s">
        <v>36</v>
      </c>
      <c r="N58" s="88" t="s">
        <v>37</v>
      </c>
      <c r="O58" s="72"/>
    </row>
    <row r="59" spans="1:15" ht="18" customHeight="1">
      <c r="A59" s="72"/>
      <c r="B59" s="132" t="s">
        <v>83</v>
      </c>
      <c r="C59" s="133"/>
      <c r="D59" s="134"/>
      <c r="E59" s="90">
        <v>1930</v>
      </c>
      <c r="F59" s="82">
        <v>5200</v>
      </c>
      <c r="G59" s="82">
        <f>+E59*F59</f>
        <v>10036000</v>
      </c>
      <c r="H59" s="72"/>
      <c r="I59" s="135" t="s">
        <v>96</v>
      </c>
      <c r="J59" s="136"/>
      <c r="K59" s="137"/>
      <c r="L59" s="90">
        <v>416</v>
      </c>
      <c r="M59" s="82">
        <v>5200</v>
      </c>
      <c r="N59" s="82">
        <f>L59*M59</f>
        <v>2163200</v>
      </c>
      <c r="O59" s="72"/>
    </row>
    <row r="60" spans="1:15" ht="18" customHeight="1">
      <c r="A60" s="72"/>
      <c r="B60" s="132" t="s">
        <v>38</v>
      </c>
      <c r="C60" s="133"/>
      <c r="D60" s="134"/>
      <c r="E60" s="90">
        <v>330</v>
      </c>
      <c r="F60" s="82">
        <v>5200</v>
      </c>
      <c r="G60" s="82">
        <f aca="true" t="shared" si="32" ref="G60:G83">+E60*F60</f>
        <v>1716000</v>
      </c>
      <c r="H60" s="72"/>
      <c r="I60" s="135" t="s">
        <v>59</v>
      </c>
      <c r="J60" s="136"/>
      <c r="K60" s="137"/>
      <c r="L60" s="90">
        <v>1028</v>
      </c>
      <c r="M60" s="82">
        <v>5200</v>
      </c>
      <c r="N60" s="82">
        <f aca="true" t="shared" si="33" ref="N60:N79">L60*M60</f>
        <v>5345600</v>
      </c>
      <c r="O60" s="72"/>
    </row>
    <row r="61" spans="1:15" ht="18" customHeight="1">
      <c r="A61" s="72"/>
      <c r="B61" s="132" t="s">
        <v>40</v>
      </c>
      <c r="C61" s="133"/>
      <c r="D61" s="134"/>
      <c r="E61" s="90">
        <v>948</v>
      </c>
      <c r="F61" s="82">
        <v>5200</v>
      </c>
      <c r="G61" s="82">
        <f t="shared" si="32"/>
        <v>4929600</v>
      </c>
      <c r="H61" s="72"/>
      <c r="I61" s="135" t="s">
        <v>45</v>
      </c>
      <c r="J61" s="136"/>
      <c r="K61" s="137"/>
      <c r="L61" s="90">
        <v>486</v>
      </c>
      <c r="M61" s="82">
        <v>5200</v>
      </c>
      <c r="N61" s="82">
        <f t="shared" si="33"/>
        <v>2527200</v>
      </c>
      <c r="O61" s="72"/>
    </row>
    <row r="62" spans="1:15" ht="18" customHeight="1">
      <c r="A62" s="72"/>
      <c r="B62" s="132" t="s">
        <v>42</v>
      </c>
      <c r="C62" s="133"/>
      <c r="D62" s="134"/>
      <c r="E62" s="90">
        <v>1360</v>
      </c>
      <c r="F62" s="82">
        <v>5200</v>
      </c>
      <c r="G62" s="82">
        <f t="shared" si="32"/>
        <v>7072000</v>
      </c>
      <c r="H62" s="72"/>
      <c r="I62" s="135" t="s">
        <v>49</v>
      </c>
      <c r="J62" s="136"/>
      <c r="K62" s="137"/>
      <c r="L62" s="90">
        <v>912</v>
      </c>
      <c r="M62" s="82">
        <v>5200</v>
      </c>
      <c r="N62" s="82">
        <f t="shared" si="33"/>
        <v>4742400</v>
      </c>
      <c r="O62" s="72"/>
    </row>
    <row r="63" spans="1:15" ht="18" customHeight="1">
      <c r="A63" s="72"/>
      <c r="B63" s="132" t="s">
        <v>87</v>
      </c>
      <c r="C63" s="133"/>
      <c r="D63" s="134"/>
      <c r="E63" s="90">
        <v>2382</v>
      </c>
      <c r="F63" s="82">
        <v>5200</v>
      </c>
      <c r="G63" s="82">
        <f t="shared" si="32"/>
        <v>12386400</v>
      </c>
      <c r="H63" s="72"/>
      <c r="I63" s="135" t="s">
        <v>47</v>
      </c>
      <c r="J63" s="136"/>
      <c r="K63" s="137"/>
      <c r="L63" s="90">
        <v>1728</v>
      </c>
      <c r="M63" s="82">
        <v>5200</v>
      </c>
      <c r="N63" s="82">
        <f t="shared" si="33"/>
        <v>8985600</v>
      </c>
      <c r="O63" s="72"/>
    </row>
    <row r="64" spans="1:15" ht="18" customHeight="1">
      <c r="A64" s="72"/>
      <c r="B64" s="132" t="s">
        <v>88</v>
      </c>
      <c r="C64" s="133"/>
      <c r="D64" s="134"/>
      <c r="E64" s="90">
        <v>2108</v>
      </c>
      <c r="F64" s="82">
        <v>5200</v>
      </c>
      <c r="G64" s="82">
        <f t="shared" si="32"/>
        <v>10961600</v>
      </c>
      <c r="H64" s="72"/>
      <c r="I64" s="135" t="s">
        <v>48</v>
      </c>
      <c r="J64" s="136"/>
      <c r="K64" s="137"/>
      <c r="L64" s="90">
        <v>814</v>
      </c>
      <c r="M64" s="82">
        <v>5200</v>
      </c>
      <c r="N64" s="82">
        <f t="shared" si="33"/>
        <v>4232800</v>
      </c>
      <c r="O64" s="72"/>
    </row>
    <row r="65" spans="1:15" ht="18" customHeight="1">
      <c r="A65" s="72"/>
      <c r="B65" s="132" t="s">
        <v>84</v>
      </c>
      <c r="C65" s="133"/>
      <c r="D65" s="134"/>
      <c r="E65" s="90">
        <v>1412</v>
      </c>
      <c r="F65" s="82">
        <v>5200</v>
      </c>
      <c r="G65" s="82">
        <f t="shared" si="32"/>
        <v>7342400</v>
      </c>
      <c r="H65" s="72"/>
      <c r="I65" s="135" t="s">
        <v>97</v>
      </c>
      <c r="J65" s="136"/>
      <c r="K65" s="137"/>
      <c r="L65" s="90">
        <v>66</v>
      </c>
      <c r="M65" s="82">
        <v>5200</v>
      </c>
      <c r="N65" s="82">
        <f t="shared" si="33"/>
        <v>343200</v>
      </c>
      <c r="O65" s="72"/>
    </row>
    <row r="66" spans="1:15" ht="18" customHeight="1">
      <c r="A66" s="72"/>
      <c r="B66" s="132" t="s">
        <v>89</v>
      </c>
      <c r="C66" s="133"/>
      <c r="D66" s="134"/>
      <c r="E66" s="90">
        <v>2108</v>
      </c>
      <c r="F66" s="82">
        <v>5200</v>
      </c>
      <c r="G66" s="82">
        <f t="shared" si="32"/>
        <v>10961600</v>
      </c>
      <c r="H66" s="72"/>
      <c r="I66" s="135" t="s">
        <v>78</v>
      </c>
      <c r="J66" s="136"/>
      <c r="K66" s="137"/>
      <c r="L66" s="90">
        <v>1412</v>
      </c>
      <c r="M66" s="82">
        <v>5200</v>
      </c>
      <c r="N66" s="82">
        <f t="shared" si="33"/>
        <v>7342400</v>
      </c>
      <c r="O66" s="72"/>
    </row>
    <row r="67" spans="1:15" ht="18" customHeight="1">
      <c r="A67" s="72"/>
      <c r="B67" s="132" t="s">
        <v>90</v>
      </c>
      <c r="C67" s="133"/>
      <c r="D67" s="134"/>
      <c r="E67" s="90">
        <v>55</v>
      </c>
      <c r="F67" s="82">
        <v>5200</v>
      </c>
      <c r="G67" s="82">
        <f t="shared" si="32"/>
        <v>286000</v>
      </c>
      <c r="H67" s="72"/>
      <c r="I67" s="135" t="s">
        <v>98</v>
      </c>
      <c r="J67" s="136"/>
      <c r="K67" s="137"/>
      <c r="L67" s="90">
        <v>316</v>
      </c>
      <c r="M67" s="82">
        <v>5200</v>
      </c>
      <c r="N67" s="82">
        <f t="shared" si="33"/>
        <v>1643200</v>
      </c>
      <c r="O67" s="72"/>
    </row>
    <row r="68" spans="1:15" ht="18" customHeight="1">
      <c r="A68" s="72"/>
      <c r="B68" s="132" t="s">
        <v>91</v>
      </c>
      <c r="C68" s="133"/>
      <c r="D68" s="134"/>
      <c r="E68" s="90">
        <v>510</v>
      </c>
      <c r="F68" s="82">
        <v>5200</v>
      </c>
      <c r="G68" s="82">
        <f t="shared" si="32"/>
        <v>2652000</v>
      </c>
      <c r="H68" s="72"/>
      <c r="I68" s="135" t="s">
        <v>41</v>
      </c>
      <c r="J68" s="136"/>
      <c r="K68" s="137"/>
      <c r="L68" s="90">
        <v>602</v>
      </c>
      <c r="M68" s="82">
        <v>5200</v>
      </c>
      <c r="N68" s="82">
        <f t="shared" si="33"/>
        <v>3130400</v>
      </c>
      <c r="O68" s="72"/>
    </row>
    <row r="69" spans="1:15" ht="18" customHeight="1">
      <c r="A69" s="72"/>
      <c r="B69" s="132" t="s">
        <v>34</v>
      </c>
      <c r="C69" s="133"/>
      <c r="D69" s="134"/>
      <c r="E69" s="90">
        <v>944</v>
      </c>
      <c r="F69" s="82">
        <v>5200</v>
      </c>
      <c r="G69" s="82">
        <f t="shared" si="32"/>
        <v>4908800</v>
      </c>
      <c r="H69" s="72"/>
      <c r="I69" s="135" t="s">
        <v>58</v>
      </c>
      <c r="J69" s="136"/>
      <c r="K69" s="137"/>
      <c r="L69" s="90">
        <v>1070</v>
      </c>
      <c r="M69" s="82">
        <v>5200</v>
      </c>
      <c r="N69" s="82">
        <f t="shared" si="33"/>
        <v>5564000</v>
      </c>
      <c r="O69" s="72"/>
    </row>
    <row r="70" spans="1:15" ht="18" customHeight="1">
      <c r="A70" s="72"/>
      <c r="B70" s="132" t="s">
        <v>92</v>
      </c>
      <c r="C70" s="133"/>
      <c r="D70" s="134"/>
      <c r="E70" s="90">
        <v>1140</v>
      </c>
      <c r="F70" s="82">
        <v>5200</v>
      </c>
      <c r="G70" s="82">
        <f t="shared" si="32"/>
        <v>5928000</v>
      </c>
      <c r="H70" s="72"/>
      <c r="I70" s="132" t="s">
        <v>52</v>
      </c>
      <c r="J70" s="133"/>
      <c r="K70" s="134"/>
      <c r="L70" s="90">
        <v>744</v>
      </c>
      <c r="M70" s="82">
        <v>5200</v>
      </c>
      <c r="N70" s="82">
        <f t="shared" si="33"/>
        <v>3868800</v>
      </c>
      <c r="O70" s="72"/>
    </row>
    <row r="71" spans="1:15" ht="18" customHeight="1">
      <c r="A71" s="72"/>
      <c r="B71" s="132" t="s">
        <v>54</v>
      </c>
      <c r="C71" s="133"/>
      <c r="D71" s="134"/>
      <c r="E71" s="90">
        <v>2316</v>
      </c>
      <c r="F71" s="82">
        <v>5200</v>
      </c>
      <c r="G71" s="82">
        <f t="shared" si="32"/>
        <v>12043200</v>
      </c>
      <c r="H71" s="72"/>
      <c r="I71" s="132" t="s">
        <v>80</v>
      </c>
      <c r="J71" s="133"/>
      <c r="K71" s="134"/>
      <c r="L71" s="90">
        <v>2202</v>
      </c>
      <c r="M71" s="82">
        <v>5200</v>
      </c>
      <c r="N71" s="82">
        <f t="shared" si="33"/>
        <v>11450400</v>
      </c>
      <c r="O71" s="72"/>
    </row>
    <row r="72" spans="1:15" ht="18" customHeight="1">
      <c r="A72" s="72"/>
      <c r="B72" s="132" t="s">
        <v>93</v>
      </c>
      <c r="C72" s="133"/>
      <c r="D72" s="134"/>
      <c r="E72" s="90">
        <v>3022</v>
      </c>
      <c r="F72" s="82">
        <v>5200</v>
      </c>
      <c r="G72" s="82">
        <f t="shared" si="32"/>
        <v>15714400</v>
      </c>
      <c r="H72" s="72"/>
      <c r="I72" s="132" t="s">
        <v>44</v>
      </c>
      <c r="J72" s="133"/>
      <c r="K72" s="134"/>
      <c r="L72" s="90">
        <v>1632</v>
      </c>
      <c r="M72" s="82">
        <v>5200</v>
      </c>
      <c r="N72" s="82">
        <f t="shared" si="33"/>
        <v>8486400</v>
      </c>
      <c r="O72" s="72"/>
    </row>
    <row r="73" spans="1:15" ht="18" customHeight="1">
      <c r="A73" s="72"/>
      <c r="B73" s="132" t="s">
        <v>53</v>
      </c>
      <c r="C73" s="133"/>
      <c r="D73" s="134"/>
      <c r="E73" s="90">
        <v>1978</v>
      </c>
      <c r="F73" s="82">
        <v>5200</v>
      </c>
      <c r="G73" s="82">
        <f t="shared" si="32"/>
        <v>10285600</v>
      </c>
      <c r="H73" s="72"/>
      <c r="I73" s="132" t="s">
        <v>79</v>
      </c>
      <c r="J73" s="133"/>
      <c r="K73" s="134"/>
      <c r="L73" s="90">
        <v>2380</v>
      </c>
      <c r="M73" s="82">
        <v>5200</v>
      </c>
      <c r="N73" s="82">
        <f t="shared" si="33"/>
        <v>12376000</v>
      </c>
      <c r="O73" s="72"/>
    </row>
    <row r="74" spans="1:15" ht="18" customHeight="1">
      <c r="A74" s="72"/>
      <c r="B74" s="132" t="s">
        <v>86</v>
      </c>
      <c r="C74" s="133"/>
      <c r="D74" s="134"/>
      <c r="E74" s="90">
        <v>2506</v>
      </c>
      <c r="F74" s="82">
        <v>5200</v>
      </c>
      <c r="G74" s="82">
        <f t="shared" si="32"/>
        <v>13031200</v>
      </c>
      <c r="H74" s="72"/>
      <c r="I74" s="132" t="s">
        <v>39</v>
      </c>
      <c r="J74" s="133"/>
      <c r="K74" s="134"/>
      <c r="L74" s="90">
        <v>874</v>
      </c>
      <c r="M74" s="82">
        <v>5200</v>
      </c>
      <c r="N74" s="82">
        <f t="shared" si="33"/>
        <v>4544800</v>
      </c>
      <c r="O74" s="72"/>
    </row>
    <row r="75" spans="1:15" ht="18" customHeight="1">
      <c r="A75" s="72"/>
      <c r="B75" s="132" t="s">
        <v>85</v>
      </c>
      <c r="C75" s="133"/>
      <c r="D75" s="134"/>
      <c r="E75" s="90">
        <v>1580</v>
      </c>
      <c r="F75" s="82">
        <v>5200</v>
      </c>
      <c r="G75" s="82">
        <f t="shared" si="32"/>
        <v>8216000</v>
      </c>
      <c r="H75" s="72"/>
      <c r="I75" s="132" t="s">
        <v>55</v>
      </c>
      <c r="J75" s="133"/>
      <c r="K75" s="134"/>
      <c r="L75" s="90">
        <v>1414</v>
      </c>
      <c r="M75" s="82">
        <v>5200</v>
      </c>
      <c r="N75" s="82">
        <f t="shared" si="33"/>
        <v>7352800</v>
      </c>
      <c r="O75" s="72"/>
    </row>
    <row r="76" spans="1:15" ht="18" customHeight="1">
      <c r="A76" s="72"/>
      <c r="B76" s="132" t="s">
        <v>32</v>
      </c>
      <c r="C76" s="133"/>
      <c r="D76" s="134"/>
      <c r="E76" s="90">
        <v>526</v>
      </c>
      <c r="F76" s="82">
        <v>5200</v>
      </c>
      <c r="G76" s="82">
        <f t="shared" si="32"/>
        <v>2735200</v>
      </c>
      <c r="H76" s="72"/>
      <c r="I76" s="132" t="s">
        <v>100</v>
      </c>
      <c r="J76" s="133"/>
      <c r="K76" s="134"/>
      <c r="L76" s="90">
        <v>2588</v>
      </c>
      <c r="M76" s="82">
        <v>5200</v>
      </c>
      <c r="N76" s="82">
        <f t="shared" si="33"/>
        <v>13457600</v>
      </c>
      <c r="O76" s="72"/>
    </row>
    <row r="77" spans="1:15" ht="18" customHeight="1">
      <c r="A77" s="72"/>
      <c r="B77" s="132" t="s">
        <v>33</v>
      </c>
      <c r="C77" s="133"/>
      <c r="D77" s="134"/>
      <c r="E77" s="90">
        <v>404</v>
      </c>
      <c r="F77" s="82">
        <v>5200</v>
      </c>
      <c r="G77" s="82">
        <f t="shared" si="32"/>
        <v>2100800</v>
      </c>
      <c r="H77" s="72"/>
      <c r="I77" s="132" t="s">
        <v>99</v>
      </c>
      <c r="J77" s="133"/>
      <c r="K77" s="134"/>
      <c r="L77" s="90">
        <v>2250</v>
      </c>
      <c r="M77" s="82">
        <v>5200</v>
      </c>
      <c r="N77" s="82">
        <f t="shared" si="33"/>
        <v>11700000</v>
      </c>
      <c r="O77" s="72"/>
    </row>
    <row r="78" spans="1:15" ht="18" customHeight="1">
      <c r="A78" s="72"/>
      <c r="B78" s="132" t="s">
        <v>56</v>
      </c>
      <c r="C78" s="133"/>
      <c r="D78" s="134"/>
      <c r="E78" s="90">
        <v>1042</v>
      </c>
      <c r="F78" s="82">
        <v>5200</v>
      </c>
      <c r="G78" s="82">
        <f t="shared" si="32"/>
        <v>5418400</v>
      </c>
      <c r="H78" s="72"/>
      <c r="I78" s="132" t="s">
        <v>94</v>
      </c>
      <c r="J78" s="133"/>
      <c r="K78" s="134"/>
      <c r="L78" s="90">
        <v>378</v>
      </c>
      <c r="M78" s="82">
        <v>5200</v>
      </c>
      <c r="N78" s="82">
        <f t="shared" si="33"/>
        <v>1965600</v>
      </c>
      <c r="O78" s="72"/>
    </row>
    <row r="79" spans="1:15" ht="18" customHeight="1">
      <c r="A79" s="72"/>
      <c r="B79" s="90" t="s">
        <v>50</v>
      </c>
      <c r="C79" s="90"/>
      <c r="D79" s="90"/>
      <c r="E79" s="90">
        <v>338</v>
      </c>
      <c r="F79" s="82">
        <v>5200</v>
      </c>
      <c r="G79" s="82">
        <f t="shared" si="32"/>
        <v>1757600</v>
      </c>
      <c r="H79" s="72"/>
      <c r="I79" s="132" t="s">
        <v>51</v>
      </c>
      <c r="J79" s="133"/>
      <c r="K79" s="134"/>
      <c r="L79" s="90">
        <v>1316</v>
      </c>
      <c r="M79" s="82">
        <v>5200</v>
      </c>
      <c r="N79" s="82">
        <f t="shared" si="33"/>
        <v>6843200</v>
      </c>
      <c r="O79" s="72"/>
    </row>
    <row r="80" spans="1:15" ht="18" customHeight="1">
      <c r="A80" s="72"/>
      <c r="B80" s="132" t="s">
        <v>57</v>
      </c>
      <c r="C80" s="133"/>
      <c r="D80" s="134"/>
      <c r="E80" s="90">
        <v>482</v>
      </c>
      <c r="F80" s="82">
        <v>5200</v>
      </c>
      <c r="G80" s="82">
        <f t="shared" si="32"/>
        <v>2506400</v>
      </c>
      <c r="H80" s="72"/>
      <c r="O80" s="72"/>
    </row>
    <row r="81" spans="1:15" ht="18" customHeight="1">
      <c r="A81" s="72"/>
      <c r="B81" s="132" t="s">
        <v>46</v>
      </c>
      <c r="C81" s="133"/>
      <c r="D81" s="134"/>
      <c r="E81" s="90">
        <v>428</v>
      </c>
      <c r="F81" s="82">
        <v>5200</v>
      </c>
      <c r="G81" s="82">
        <f t="shared" si="32"/>
        <v>2225600</v>
      </c>
      <c r="H81" s="72"/>
      <c r="O81" s="72"/>
    </row>
    <row r="82" spans="1:15" ht="18" customHeight="1">
      <c r="A82" s="72"/>
      <c r="B82" s="132" t="s">
        <v>43</v>
      </c>
      <c r="C82" s="133"/>
      <c r="D82" s="134"/>
      <c r="E82" s="90">
        <v>1130</v>
      </c>
      <c r="F82" s="82">
        <v>5200</v>
      </c>
      <c r="G82" s="82">
        <f t="shared" si="32"/>
        <v>5876000</v>
      </c>
      <c r="H82" s="72"/>
      <c r="O82" s="72"/>
    </row>
    <row r="83" spans="1:15" ht="18" customHeight="1">
      <c r="A83" s="72"/>
      <c r="B83" s="132" t="s">
        <v>95</v>
      </c>
      <c r="C83" s="133"/>
      <c r="D83" s="134"/>
      <c r="E83" s="90">
        <v>1878</v>
      </c>
      <c r="F83" s="82">
        <v>5200</v>
      </c>
      <c r="G83" s="82">
        <f t="shared" si="32"/>
        <v>9765600</v>
      </c>
      <c r="H83" s="72"/>
      <c r="I83" s="72"/>
      <c r="J83" s="72"/>
      <c r="K83" s="72"/>
      <c r="L83" s="72"/>
      <c r="M83" s="72"/>
      <c r="N83" s="72"/>
      <c r="O83" s="72"/>
    </row>
    <row r="84" spans="9:14" ht="18">
      <c r="I84" s="72"/>
      <c r="J84" s="72"/>
      <c r="K84" s="72"/>
      <c r="L84" s="72"/>
      <c r="M84" s="72"/>
      <c r="N84" s="72"/>
    </row>
    <row r="85" spans="9:14" ht="18">
      <c r="I85" s="72"/>
      <c r="J85" s="72"/>
      <c r="K85" s="72"/>
      <c r="L85" s="72"/>
      <c r="M85" s="72"/>
      <c r="N85" s="72"/>
    </row>
    <row r="86" spans="9:14" ht="18">
      <c r="I86" s="72"/>
      <c r="J86" s="72"/>
      <c r="K86" s="72"/>
      <c r="L86" s="72"/>
      <c r="M86" s="72"/>
      <c r="N86" s="72"/>
    </row>
    <row r="87" spans="9:14" ht="18">
      <c r="I87" s="72"/>
      <c r="J87" s="72"/>
      <c r="K87" s="72"/>
      <c r="L87" s="72"/>
      <c r="M87" s="72"/>
      <c r="N87" s="72"/>
    </row>
    <row r="91" spans="2:7" ht="18">
      <c r="B91" s="72"/>
      <c r="C91" s="72"/>
      <c r="D91" s="72"/>
      <c r="E91" s="72"/>
      <c r="F91" s="72"/>
      <c r="G91" s="72"/>
    </row>
    <row r="92" spans="2:7" ht="18">
      <c r="B92" s="72"/>
      <c r="C92" s="72"/>
      <c r="D92" s="72"/>
      <c r="E92" s="72"/>
      <c r="F92" s="72"/>
      <c r="G92" s="72"/>
    </row>
    <row r="93" spans="2:7" ht="18">
      <c r="B93" s="72"/>
      <c r="C93" s="72"/>
      <c r="D93" s="72"/>
      <c r="E93" s="72"/>
      <c r="F93" s="72"/>
      <c r="G93" s="72"/>
    </row>
    <row r="99" spans="6:7" ht="14.25">
      <c r="F99" s="14"/>
      <c r="G99" s="14"/>
    </row>
    <row r="100" spans="6:7" ht="14.25">
      <c r="F100" s="14"/>
      <c r="G100" s="14"/>
    </row>
  </sheetData>
  <sheetProtection/>
  <mergeCells count="75">
    <mergeCell ref="H39:H40"/>
    <mergeCell ref="I39:I40"/>
    <mergeCell ref="J39:J40"/>
    <mergeCell ref="D27:D28"/>
    <mergeCell ref="E27:E28"/>
    <mergeCell ref="F27:F28"/>
    <mergeCell ref="G27:G28"/>
    <mergeCell ref="H27:H28"/>
    <mergeCell ref="I27:I28"/>
    <mergeCell ref="J27:J28"/>
    <mergeCell ref="B83:D83"/>
    <mergeCell ref="B82:D82"/>
    <mergeCell ref="B81:D81"/>
    <mergeCell ref="B80:D80"/>
    <mergeCell ref="D39:D40"/>
    <mergeCell ref="E39:E40"/>
    <mergeCell ref="B78:D78"/>
    <mergeCell ref="B75:D75"/>
    <mergeCell ref="B76:D76"/>
    <mergeCell ref="B77:D77"/>
    <mergeCell ref="I79:K79"/>
    <mergeCell ref="I78:K78"/>
    <mergeCell ref="I77:K77"/>
    <mergeCell ref="I76:K76"/>
    <mergeCell ref="I75:K75"/>
    <mergeCell ref="I74:K74"/>
    <mergeCell ref="I68:K68"/>
    <mergeCell ref="I69:K69"/>
    <mergeCell ref="I70:K70"/>
    <mergeCell ref="I71:K71"/>
    <mergeCell ref="I72:K72"/>
    <mergeCell ref="I73:K73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B72:D72"/>
    <mergeCell ref="B73:D73"/>
    <mergeCell ref="B74:D74"/>
    <mergeCell ref="B66:D66"/>
    <mergeCell ref="B67:D67"/>
    <mergeCell ref="B68:D68"/>
    <mergeCell ref="B69:D69"/>
    <mergeCell ref="B70:D70"/>
    <mergeCell ref="B71:D71"/>
    <mergeCell ref="B65:D65"/>
    <mergeCell ref="B59:D59"/>
    <mergeCell ref="B60:D60"/>
    <mergeCell ref="B61:D61"/>
    <mergeCell ref="B62:D62"/>
    <mergeCell ref="B63:D63"/>
    <mergeCell ref="B64:D64"/>
    <mergeCell ref="B57:G57"/>
    <mergeCell ref="B6:C6"/>
    <mergeCell ref="B16:C16"/>
    <mergeCell ref="B17:C17"/>
    <mergeCell ref="B25:D25"/>
    <mergeCell ref="B40:C40"/>
    <mergeCell ref="F39:F40"/>
    <mergeCell ref="G39:G40"/>
    <mergeCell ref="B1:O1"/>
    <mergeCell ref="B2:O2"/>
    <mergeCell ref="B3:D3"/>
    <mergeCell ref="B5:C5"/>
    <mergeCell ref="B27:C27"/>
    <mergeCell ref="B39:C39"/>
    <mergeCell ref="B14:E14"/>
    <mergeCell ref="K27:K28"/>
    <mergeCell ref="L27:L28"/>
    <mergeCell ref="B28:C28"/>
  </mergeCells>
  <printOptions/>
  <pageMargins left="0.3937007874015748" right="0.35433070866141736" top="0.5905511811023623" bottom="0.984251968503937" header="0" footer="0"/>
  <pageSetup fitToHeight="0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B1">
      <selection activeCell="A84" sqref="A84"/>
    </sheetView>
  </sheetViews>
  <sheetFormatPr defaultColWidth="11.421875" defaultRowHeight="12.75"/>
  <cols>
    <col min="1" max="1" width="16.8515625" style="1" customWidth="1"/>
    <col min="2" max="2" width="4.28125" style="1" customWidth="1"/>
    <col min="3" max="3" width="12.00390625" style="1" customWidth="1"/>
    <col min="4" max="4" width="11.140625" style="1" customWidth="1"/>
    <col min="5" max="5" width="9.8515625" style="1" customWidth="1"/>
    <col min="6" max="6" width="12.8515625" style="1" customWidth="1"/>
    <col min="7" max="7" width="10.00390625" style="1" customWidth="1"/>
    <col min="8" max="8" width="11.28125" style="1" customWidth="1"/>
    <col min="9" max="9" width="11.140625" style="1" customWidth="1"/>
    <col min="10" max="10" width="11.57421875" style="1" customWidth="1"/>
    <col min="11" max="11" width="10.57421875" style="1" customWidth="1"/>
    <col min="12" max="12" width="11.00390625" style="1" customWidth="1"/>
    <col min="13" max="13" width="12.421875" style="1" customWidth="1"/>
    <col min="14" max="16384" width="11.421875" style="1" customWidth="1"/>
  </cols>
  <sheetData>
    <row r="1" spans="1:14" s="37" customFormat="1" ht="16.5" customHeight="1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8" customFormat="1" ht="15.75" thickBot="1">
      <c r="A2" s="109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4" ht="16.5" thickBot="1" thickTop="1">
      <c r="A3" s="144" t="s">
        <v>15</v>
      </c>
      <c r="B3" s="145"/>
      <c r="C3" s="146"/>
      <c r="D3" s="48"/>
    </row>
    <row r="4" spans="1:5" ht="15.75" thickTop="1">
      <c r="A4" s="2"/>
      <c r="D4" s="8"/>
      <c r="E4" s="8"/>
    </row>
    <row r="5" spans="1:14" s="2" customFormat="1" ht="15">
      <c r="A5" s="103" t="s">
        <v>1</v>
      </c>
      <c r="B5" s="104"/>
      <c r="C5" s="56"/>
      <c r="D5" s="56"/>
      <c r="E5" s="57"/>
      <c r="F5" s="58"/>
      <c r="G5" s="57"/>
      <c r="H5" s="59"/>
      <c r="I5" s="57"/>
      <c r="J5" s="59"/>
      <c r="K5" s="57"/>
      <c r="L5" s="59"/>
      <c r="M5" s="57"/>
      <c r="N5" s="44" t="s">
        <v>31</v>
      </c>
    </row>
    <row r="6" spans="1:14" s="2" customFormat="1" ht="15">
      <c r="A6" s="98" t="s">
        <v>2</v>
      </c>
      <c r="B6" s="99"/>
      <c r="C6" s="60" t="s">
        <v>0</v>
      </c>
      <c r="D6" s="60" t="s">
        <v>18</v>
      </c>
      <c r="E6" s="61" t="s">
        <v>19</v>
      </c>
      <c r="F6" s="62" t="s">
        <v>20</v>
      </c>
      <c r="G6" s="61" t="s">
        <v>21</v>
      </c>
      <c r="H6" s="63" t="s">
        <v>22</v>
      </c>
      <c r="I6" s="61" t="s">
        <v>23</v>
      </c>
      <c r="J6" s="63" t="s">
        <v>24</v>
      </c>
      <c r="K6" s="61" t="s">
        <v>25</v>
      </c>
      <c r="L6" s="63" t="s">
        <v>26</v>
      </c>
      <c r="M6" s="61" t="s">
        <v>27</v>
      </c>
      <c r="N6" s="45" t="s">
        <v>30</v>
      </c>
    </row>
    <row r="7" spans="1:14" ht="15">
      <c r="A7" s="15" t="s">
        <v>3</v>
      </c>
      <c r="B7" s="16" t="s">
        <v>6</v>
      </c>
      <c r="C7" s="13">
        <f>(4.913+4.913)*37.63</f>
        <v>369.75238</v>
      </c>
      <c r="D7" s="13">
        <f aca="true" t="shared" si="0" ref="D7:D12">SUM(C7+N7)</f>
        <v>554.6285700000001</v>
      </c>
      <c r="E7" s="13">
        <f aca="true" t="shared" si="1" ref="E7:E12">SUM(C7*2)</f>
        <v>739.50476</v>
      </c>
      <c r="F7" s="13">
        <f aca="true" t="shared" si="2" ref="F7:F12">SUM(E7+N7)</f>
        <v>924.38095</v>
      </c>
      <c r="G7" s="13">
        <f aca="true" t="shared" si="3" ref="G7:G12">SUM(C7*3)</f>
        <v>1109.2571400000002</v>
      </c>
      <c r="H7" s="13">
        <f aca="true" t="shared" si="4" ref="H7:H12">SUM(G7+N7)</f>
        <v>1294.1333300000001</v>
      </c>
      <c r="I7" s="13">
        <f aca="true" t="shared" si="5" ref="I7:I12">SUM(C7*4)</f>
        <v>1479.00952</v>
      </c>
      <c r="J7" s="13">
        <f aca="true" t="shared" si="6" ref="J7:J12">SUM(I7+N7)</f>
        <v>1663.88571</v>
      </c>
      <c r="K7" s="13">
        <f aca="true" t="shared" si="7" ref="K7:K12">SUM(C7*5)</f>
        <v>1848.7619</v>
      </c>
      <c r="L7" s="13">
        <f aca="true" t="shared" si="8" ref="L7:L12">SUM(K7+N7)</f>
        <v>2033.63809</v>
      </c>
      <c r="M7" s="13">
        <f aca="true" t="shared" si="9" ref="M7:M12">SUM(C7*6)</f>
        <v>2218.5142800000003</v>
      </c>
      <c r="N7" s="19">
        <f>4.913*37.63</f>
        <v>184.87619</v>
      </c>
    </row>
    <row r="8" spans="1:14" ht="15">
      <c r="A8" s="17" t="s">
        <v>4</v>
      </c>
      <c r="B8" s="18" t="s">
        <v>7</v>
      </c>
      <c r="C8" s="19">
        <f>(4.913+4.913)*37.63</f>
        <v>369.75238</v>
      </c>
      <c r="D8" s="13">
        <f t="shared" si="0"/>
        <v>554.6285700000001</v>
      </c>
      <c r="E8" s="13">
        <f t="shared" si="1"/>
        <v>739.50476</v>
      </c>
      <c r="F8" s="13">
        <f t="shared" si="2"/>
        <v>924.38095</v>
      </c>
      <c r="G8" s="13">
        <f t="shared" si="3"/>
        <v>1109.2571400000002</v>
      </c>
      <c r="H8" s="13">
        <f t="shared" si="4"/>
        <v>1294.1333300000001</v>
      </c>
      <c r="I8" s="13">
        <f t="shared" si="5"/>
        <v>1479.00952</v>
      </c>
      <c r="J8" s="13">
        <f t="shared" si="6"/>
        <v>1663.88571</v>
      </c>
      <c r="K8" s="13">
        <f t="shared" si="7"/>
        <v>1848.7619</v>
      </c>
      <c r="L8" s="13">
        <f t="shared" si="8"/>
        <v>2033.63809</v>
      </c>
      <c r="M8" s="13">
        <f t="shared" si="9"/>
        <v>2218.5142800000003</v>
      </c>
      <c r="N8" s="19">
        <f>4.913*37.63</f>
        <v>184.87619</v>
      </c>
    </row>
    <row r="9" spans="1:14" ht="15">
      <c r="A9" s="17" t="s">
        <v>14</v>
      </c>
      <c r="B9" s="18" t="s">
        <v>8</v>
      </c>
      <c r="C9" s="19">
        <f>(3.93+3.071)*37.63</f>
        <v>263.44763</v>
      </c>
      <c r="D9" s="13">
        <f t="shared" si="0"/>
        <v>379.00936</v>
      </c>
      <c r="E9" s="13">
        <f t="shared" si="1"/>
        <v>526.89526</v>
      </c>
      <c r="F9" s="13">
        <f t="shared" si="2"/>
        <v>642.45699</v>
      </c>
      <c r="G9" s="13">
        <f t="shared" si="3"/>
        <v>790.34289</v>
      </c>
      <c r="H9" s="13">
        <f t="shared" si="4"/>
        <v>905.90462</v>
      </c>
      <c r="I9" s="13">
        <f t="shared" si="5"/>
        <v>1053.79052</v>
      </c>
      <c r="J9" s="13">
        <f t="shared" si="6"/>
        <v>1169.35225</v>
      </c>
      <c r="K9" s="13">
        <f t="shared" si="7"/>
        <v>1317.2381500000001</v>
      </c>
      <c r="L9" s="13">
        <f t="shared" si="8"/>
        <v>1432.79988</v>
      </c>
      <c r="M9" s="13">
        <f t="shared" si="9"/>
        <v>1580.68578</v>
      </c>
      <c r="N9" s="19">
        <f>3.071*37.63</f>
        <v>115.56173000000001</v>
      </c>
    </row>
    <row r="10" spans="1:14" ht="15">
      <c r="A10" s="17" t="s">
        <v>12</v>
      </c>
      <c r="B10" s="18" t="s">
        <v>11</v>
      </c>
      <c r="C10" s="19">
        <f>(3.44+2.456)*37.63</f>
        <v>221.86648000000002</v>
      </c>
      <c r="D10" s="13">
        <f t="shared" si="0"/>
        <v>314.28576000000004</v>
      </c>
      <c r="E10" s="13">
        <f t="shared" si="1"/>
        <v>443.73296000000005</v>
      </c>
      <c r="F10" s="13">
        <f t="shared" si="2"/>
        <v>536.15224</v>
      </c>
      <c r="G10" s="13">
        <f t="shared" si="3"/>
        <v>665.5994400000001</v>
      </c>
      <c r="H10" s="13">
        <f t="shared" si="4"/>
        <v>758.01872</v>
      </c>
      <c r="I10" s="13">
        <f t="shared" si="5"/>
        <v>887.4659200000001</v>
      </c>
      <c r="J10" s="13">
        <f t="shared" si="6"/>
        <v>979.8852</v>
      </c>
      <c r="K10" s="13">
        <f t="shared" si="7"/>
        <v>1109.3324000000002</v>
      </c>
      <c r="L10" s="13">
        <f t="shared" si="8"/>
        <v>1201.7516800000003</v>
      </c>
      <c r="M10" s="13">
        <f t="shared" si="9"/>
        <v>1331.1988800000001</v>
      </c>
      <c r="N10" s="19">
        <f>2.456*37.63</f>
        <v>92.41928</v>
      </c>
    </row>
    <row r="11" spans="1:14" ht="15">
      <c r="A11" s="17" t="s">
        <v>10</v>
      </c>
      <c r="B11" s="18" t="s">
        <v>9</v>
      </c>
      <c r="C11" s="19">
        <f>(2.456+1.842)*37.63</f>
        <v>161.73374</v>
      </c>
      <c r="D11" s="13">
        <f t="shared" si="0"/>
        <v>231.0482</v>
      </c>
      <c r="E11" s="13">
        <f t="shared" si="1"/>
        <v>323.46748</v>
      </c>
      <c r="F11" s="13">
        <f t="shared" si="2"/>
        <v>392.78194</v>
      </c>
      <c r="G11" s="13">
        <f t="shared" si="3"/>
        <v>485.20122000000003</v>
      </c>
      <c r="H11" s="13">
        <f t="shared" si="4"/>
        <v>554.5156800000001</v>
      </c>
      <c r="I11" s="13">
        <f t="shared" si="5"/>
        <v>646.93496</v>
      </c>
      <c r="J11" s="13">
        <f t="shared" si="6"/>
        <v>716.2494200000001</v>
      </c>
      <c r="K11" s="13">
        <f t="shared" si="7"/>
        <v>808.6687000000001</v>
      </c>
      <c r="L11" s="13">
        <f t="shared" si="8"/>
        <v>877.9831600000001</v>
      </c>
      <c r="M11" s="13">
        <f t="shared" si="9"/>
        <v>970.4024400000001</v>
      </c>
      <c r="N11" s="19">
        <f>1.842*37.63</f>
        <v>69.31446000000001</v>
      </c>
    </row>
    <row r="12" spans="1:14" ht="15">
      <c r="A12" s="17" t="s">
        <v>5</v>
      </c>
      <c r="B12" s="18" t="s">
        <v>13</v>
      </c>
      <c r="C12" s="19">
        <f>(1.966+1.228)*37.63</f>
        <v>120.19022000000001</v>
      </c>
      <c r="D12" s="13">
        <f t="shared" si="0"/>
        <v>166.39986000000002</v>
      </c>
      <c r="E12" s="13">
        <f t="shared" si="1"/>
        <v>240.38044000000002</v>
      </c>
      <c r="F12" s="13">
        <f t="shared" si="2"/>
        <v>286.59008</v>
      </c>
      <c r="G12" s="13">
        <f t="shared" si="3"/>
        <v>360.57066000000003</v>
      </c>
      <c r="H12" s="13">
        <f t="shared" si="4"/>
        <v>406.7803</v>
      </c>
      <c r="I12" s="13">
        <f t="shared" si="5"/>
        <v>480.76088000000004</v>
      </c>
      <c r="J12" s="13">
        <f t="shared" si="6"/>
        <v>526.9705200000001</v>
      </c>
      <c r="K12" s="13">
        <f t="shared" si="7"/>
        <v>600.9511</v>
      </c>
      <c r="L12" s="13">
        <f t="shared" si="8"/>
        <v>647.16074</v>
      </c>
      <c r="M12" s="13">
        <f t="shared" si="9"/>
        <v>721.1413200000001</v>
      </c>
      <c r="N12" s="19">
        <f>1.228*37.63</f>
        <v>46.20964</v>
      </c>
    </row>
    <row r="13" spans="5:8" ht="14.25">
      <c r="E13" s="14"/>
      <c r="F13" s="14"/>
      <c r="G13" s="14"/>
      <c r="H13" s="14"/>
    </row>
    <row r="14" spans="1:8" ht="15" thickBot="1">
      <c r="A14" s="49"/>
      <c r="E14" s="14"/>
      <c r="F14" s="14"/>
      <c r="G14" s="14"/>
      <c r="H14" s="14"/>
    </row>
    <row r="15" spans="1:4" ht="16.5" thickBot="1" thickTop="1">
      <c r="A15" s="64" t="s">
        <v>16</v>
      </c>
      <c r="B15" s="54"/>
      <c r="C15" s="55"/>
      <c r="D15" s="48"/>
    </row>
    <row r="16" spans="1:2" ht="15.75" thickTop="1">
      <c r="A16" s="50"/>
      <c r="B16" s="51"/>
    </row>
    <row r="17" spans="1:14" s="2" customFormat="1" ht="15">
      <c r="A17" s="103" t="s">
        <v>1</v>
      </c>
      <c r="B17" s="104"/>
      <c r="C17" s="57"/>
      <c r="D17" s="59"/>
      <c r="E17" s="57"/>
      <c r="F17" s="57"/>
      <c r="G17" s="57"/>
      <c r="H17" s="59"/>
      <c r="I17" s="57"/>
      <c r="J17" s="59"/>
      <c r="K17" s="57"/>
      <c r="L17" s="57"/>
      <c r="M17" s="57"/>
      <c r="N17" s="44" t="s">
        <v>31</v>
      </c>
    </row>
    <row r="18" spans="1:14" s="2" customFormat="1" ht="15">
      <c r="A18" s="98" t="s">
        <v>2</v>
      </c>
      <c r="B18" s="99"/>
      <c r="C18" s="61" t="s">
        <v>0</v>
      </c>
      <c r="D18" s="63" t="s">
        <v>28</v>
      </c>
      <c r="E18" s="61" t="s">
        <v>29</v>
      </c>
      <c r="F18" s="61" t="s">
        <v>20</v>
      </c>
      <c r="G18" s="61" t="s">
        <v>21</v>
      </c>
      <c r="H18" s="63" t="s">
        <v>22</v>
      </c>
      <c r="I18" s="61" t="s">
        <v>23</v>
      </c>
      <c r="J18" s="63" t="s">
        <v>24</v>
      </c>
      <c r="K18" s="61" t="s">
        <v>25</v>
      </c>
      <c r="L18" s="63" t="s">
        <v>26</v>
      </c>
      <c r="M18" s="61" t="s">
        <v>27</v>
      </c>
      <c r="N18" s="45" t="s">
        <v>30</v>
      </c>
    </row>
    <row r="19" spans="1:14" ht="15">
      <c r="A19" s="17" t="s">
        <v>3</v>
      </c>
      <c r="B19" s="18" t="s">
        <v>6</v>
      </c>
      <c r="C19" s="13">
        <f>(3.93+4.211)*37.63</f>
        <v>306.34583000000003</v>
      </c>
      <c r="D19" s="13">
        <f aca="true" t="shared" si="10" ref="D19:D24">SUM(C19+N19)</f>
        <v>464.8057600000001</v>
      </c>
      <c r="E19" s="13">
        <f aca="true" t="shared" si="11" ref="E19:E24">SUM(C19*2)</f>
        <v>612.6916600000001</v>
      </c>
      <c r="F19" s="13">
        <f aca="true" t="shared" si="12" ref="F19:F24">SUM(E19+N19)</f>
        <v>771.15159</v>
      </c>
      <c r="G19" s="13">
        <f aca="true" t="shared" si="13" ref="G19:G24">SUM(C19*3)</f>
        <v>919.0374900000002</v>
      </c>
      <c r="H19" s="13">
        <f aca="true" t="shared" si="14" ref="H19:H24">SUM(G19+N19)</f>
        <v>1077.4974200000001</v>
      </c>
      <c r="I19" s="13">
        <f aca="true" t="shared" si="15" ref="I19:I24">SUM(C19*4)</f>
        <v>1225.3833200000001</v>
      </c>
      <c r="J19" s="13">
        <f aca="true" t="shared" si="16" ref="J19:J24">SUM(I19+N19)</f>
        <v>1383.8432500000001</v>
      </c>
      <c r="K19" s="13">
        <f aca="true" t="shared" si="17" ref="K19:K24">SUM(C19*5)</f>
        <v>1531.7291500000001</v>
      </c>
      <c r="L19" s="13">
        <f aca="true" t="shared" si="18" ref="L19:L24">SUM(K19+N19)</f>
        <v>1690.18908</v>
      </c>
      <c r="M19" s="13">
        <f aca="true" t="shared" si="19" ref="M19:M24">SUM(C19*6)</f>
        <v>1838.0749800000003</v>
      </c>
      <c r="N19" s="19">
        <f>4.211*37.63</f>
        <v>158.45993</v>
      </c>
    </row>
    <row r="20" spans="1:14" ht="15">
      <c r="A20" s="17" t="s">
        <v>4</v>
      </c>
      <c r="B20" s="18" t="s">
        <v>7</v>
      </c>
      <c r="C20" s="13">
        <f>(3.93+4.211)*37.63</f>
        <v>306.34583000000003</v>
      </c>
      <c r="D20" s="13">
        <f t="shared" si="10"/>
        <v>464.8057600000001</v>
      </c>
      <c r="E20" s="13">
        <f t="shared" si="11"/>
        <v>612.6916600000001</v>
      </c>
      <c r="F20" s="13">
        <f t="shared" si="12"/>
        <v>771.15159</v>
      </c>
      <c r="G20" s="13">
        <f t="shared" si="13"/>
        <v>919.0374900000002</v>
      </c>
      <c r="H20" s="13">
        <f t="shared" si="14"/>
        <v>1077.4974200000001</v>
      </c>
      <c r="I20" s="13">
        <f t="shared" si="15"/>
        <v>1225.3833200000001</v>
      </c>
      <c r="J20" s="13">
        <f t="shared" si="16"/>
        <v>1383.8432500000001</v>
      </c>
      <c r="K20" s="13">
        <f t="shared" si="17"/>
        <v>1531.7291500000001</v>
      </c>
      <c r="L20" s="13">
        <f t="shared" si="18"/>
        <v>1690.18908</v>
      </c>
      <c r="M20" s="13">
        <f t="shared" si="19"/>
        <v>1838.0749800000003</v>
      </c>
      <c r="N20" s="19">
        <f>4.211*37.63</f>
        <v>158.45993</v>
      </c>
    </row>
    <row r="21" spans="1:14" ht="15">
      <c r="A21" s="17" t="s">
        <v>14</v>
      </c>
      <c r="B21" s="18" t="s">
        <v>8</v>
      </c>
      <c r="C21" s="19">
        <f>(3.144+2.632)*37.63</f>
        <v>217.35088000000002</v>
      </c>
      <c r="D21" s="13">
        <f t="shared" si="10"/>
        <v>316.39304000000004</v>
      </c>
      <c r="E21" s="13">
        <f t="shared" si="11"/>
        <v>434.70176000000004</v>
      </c>
      <c r="F21" s="13">
        <f t="shared" si="12"/>
        <v>533.74392</v>
      </c>
      <c r="G21" s="13">
        <f t="shared" si="13"/>
        <v>652.0526400000001</v>
      </c>
      <c r="H21" s="13">
        <f t="shared" si="14"/>
        <v>751.0948000000001</v>
      </c>
      <c r="I21" s="13">
        <f t="shared" si="15"/>
        <v>869.4035200000001</v>
      </c>
      <c r="J21" s="13">
        <f t="shared" si="16"/>
        <v>968.44568</v>
      </c>
      <c r="K21" s="13">
        <f t="shared" si="17"/>
        <v>1086.7544</v>
      </c>
      <c r="L21" s="13">
        <f t="shared" si="18"/>
        <v>1185.79656</v>
      </c>
      <c r="M21" s="13">
        <f t="shared" si="19"/>
        <v>1304.1052800000002</v>
      </c>
      <c r="N21" s="19">
        <f>2.632*37.63</f>
        <v>99.04216000000001</v>
      </c>
    </row>
    <row r="22" spans="1:14" ht="15">
      <c r="A22" s="17" t="s">
        <v>12</v>
      </c>
      <c r="B22" s="18" t="s">
        <v>11</v>
      </c>
      <c r="C22" s="19">
        <f>(2.751+2.106)*37.63</f>
        <v>182.76890999999998</v>
      </c>
      <c r="D22" s="13">
        <f t="shared" si="10"/>
        <v>262.01768999999996</v>
      </c>
      <c r="E22" s="13">
        <f t="shared" si="11"/>
        <v>365.53781999999995</v>
      </c>
      <c r="F22" s="13">
        <f t="shared" si="12"/>
        <v>444.78659999999996</v>
      </c>
      <c r="G22" s="13">
        <f t="shared" si="13"/>
        <v>548.3067299999999</v>
      </c>
      <c r="H22" s="13">
        <f t="shared" si="14"/>
        <v>627.5555099999999</v>
      </c>
      <c r="I22" s="13">
        <f t="shared" si="15"/>
        <v>731.0756399999999</v>
      </c>
      <c r="J22" s="13">
        <f t="shared" si="16"/>
        <v>810.3244199999999</v>
      </c>
      <c r="K22" s="13">
        <f t="shared" si="17"/>
        <v>913.8445499999999</v>
      </c>
      <c r="L22" s="13">
        <f t="shared" si="18"/>
        <v>993.0933299999999</v>
      </c>
      <c r="M22" s="13">
        <f t="shared" si="19"/>
        <v>1096.6134599999998</v>
      </c>
      <c r="N22" s="19">
        <f>2.106*37.63</f>
        <v>79.24878</v>
      </c>
    </row>
    <row r="23" spans="1:14" ht="15">
      <c r="A23" s="17" t="s">
        <v>10</v>
      </c>
      <c r="B23" s="18" t="s">
        <v>9</v>
      </c>
      <c r="C23" s="19">
        <f>(1.966+1.579)*37.63</f>
        <v>133.39835</v>
      </c>
      <c r="D23" s="13">
        <f t="shared" si="10"/>
        <v>192.81612</v>
      </c>
      <c r="E23" s="13">
        <f t="shared" si="11"/>
        <v>266.7967</v>
      </c>
      <c r="F23" s="13">
        <f t="shared" si="12"/>
        <v>326.21447</v>
      </c>
      <c r="G23" s="13">
        <f t="shared" si="13"/>
        <v>400.19505</v>
      </c>
      <c r="H23" s="13">
        <f t="shared" si="14"/>
        <v>459.61282</v>
      </c>
      <c r="I23" s="13">
        <f t="shared" si="15"/>
        <v>533.5934</v>
      </c>
      <c r="J23" s="13">
        <f t="shared" si="16"/>
        <v>593.01117</v>
      </c>
      <c r="K23" s="13">
        <f t="shared" si="17"/>
        <v>666.9917499999999</v>
      </c>
      <c r="L23" s="13">
        <f t="shared" si="18"/>
        <v>726.4095199999999</v>
      </c>
      <c r="M23" s="13">
        <f t="shared" si="19"/>
        <v>800.3901</v>
      </c>
      <c r="N23" s="19">
        <f>1.579*37.63</f>
        <v>59.417770000000004</v>
      </c>
    </row>
    <row r="24" spans="1:14" ht="15">
      <c r="A24" s="17" t="s">
        <v>5</v>
      </c>
      <c r="B24" s="18" t="s">
        <v>13</v>
      </c>
      <c r="C24" s="19">
        <f>(1.572+1.053)*37.63</f>
        <v>98.77875</v>
      </c>
      <c r="D24" s="13">
        <f t="shared" si="10"/>
        <v>138.40314</v>
      </c>
      <c r="E24" s="13">
        <f t="shared" si="11"/>
        <v>197.5575</v>
      </c>
      <c r="F24" s="13">
        <f t="shared" si="12"/>
        <v>237.18189</v>
      </c>
      <c r="G24" s="13">
        <f t="shared" si="13"/>
        <v>296.33625</v>
      </c>
      <c r="H24" s="13">
        <f t="shared" si="14"/>
        <v>335.96064</v>
      </c>
      <c r="I24" s="13">
        <f t="shared" si="15"/>
        <v>395.115</v>
      </c>
      <c r="J24" s="13">
        <f t="shared" si="16"/>
        <v>434.73939</v>
      </c>
      <c r="K24" s="13">
        <f t="shared" si="17"/>
        <v>493.89375</v>
      </c>
      <c r="L24" s="13">
        <f t="shared" si="18"/>
        <v>533.51814</v>
      </c>
      <c r="M24" s="13">
        <f t="shared" si="19"/>
        <v>592.6725</v>
      </c>
      <c r="N24" s="19">
        <f>1.053*37.63</f>
        <v>39.62439</v>
      </c>
    </row>
    <row r="25" spans="1:3" ht="15" thickBot="1">
      <c r="A25" s="52"/>
      <c r="B25" s="52"/>
      <c r="C25" s="52"/>
    </row>
    <row r="26" spans="1:11" ht="16.5" thickBot="1" thickTop="1">
      <c r="A26" s="147" t="s">
        <v>74</v>
      </c>
      <c r="B26" s="148"/>
      <c r="C26" s="149"/>
      <c r="D26" s="48"/>
      <c r="J26" s="8"/>
      <c r="K26" s="8"/>
    </row>
    <row r="27" spans="1:11" ht="14.25" customHeight="1" thickTop="1">
      <c r="A27" s="53"/>
      <c r="B27" s="6"/>
      <c r="J27" s="8"/>
      <c r="K27" s="8"/>
    </row>
    <row r="28" spans="1:11" s="2" customFormat="1" ht="15">
      <c r="A28" s="103" t="s">
        <v>1</v>
      </c>
      <c r="B28" s="104"/>
      <c r="C28" s="57"/>
      <c r="D28" s="57"/>
      <c r="E28" s="57"/>
      <c r="F28" s="58"/>
      <c r="G28" s="57"/>
      <c r="H28" s="57"/>
      <c r="I28" s="57"/>
      <c r="J28" s="20"/>
      <c r="K28" s="20"/>
    </row>
    <row r="29" spans="1:11" s="2" customFormat="1" ht="15">
      <c r="A29" s="98" t="s">
        <v>2</v>
      </c>
      <c r="B29" s="99"/>
      <c r="C29" s="61" t="s">
        <v>0</v>
      </c>
      <c r="D29" s="61" t="s">
        <v>19</v>
      </c>
      <c r="E29" s="61" t="s">
        <v>21</v>
      </c>
      <c r="F29" s="62" t="s">
        <v>23</v>
      </c>
      <c r="G29" s="61" t="s">
        <v>25</v>
      </c>
      <c r="H29" s="61" t="s">
        <v>27</v>
      </c>
      <c r="I29" s="61" t="s">
        <v>73</v>
      </c>
      <c r="J29" s="21"/>
      <c r="K29" s="20"/>
    </row>
    <row r="30" spans="1:11" ht="15">
      <c r="A30" s="17" t="s">
        <v>3</v>
      </c>
      <c r="B30" s="18" t="s">
        <v>6</v>
      </c>
      <c r="C30" s="13">
        <f>3.509*37.63</f>
        <v>132.04367</v>
      </c>
      <c r="D30" s="19">
        <f aca="true" t="shared" si="20" ref="D30:D35">SUM(C30*2)</f>
        <v>264.08734</v>
      </c>
      <c r="E30" s="19">
        <f aca="true" t="shared" si="21" ref="E30:E35">SUM(C30*3)</f>
        <v>396.13100999999995</v>
      </c>
      <c r="F30" s="19">
        <f aca="true" t="shared" si="22" ref="F30:F35">SUM(C30*4)</f>
        <v>528.17468</v>
      </c>
      <c r="G30" s="19">
        <f aca="true" t="shared" si="23" ref="G30:G35">SUM(C30*5)</f>
        <v>660.21835</v>
      </c>
      <c r="H30" s="19">
        <f aca="true" t="shared" si="24" ref="H30:H35">SUM(C30*6)</f>
        <v>792.2620199999999</v>
      </c>
      <c r="I30" s="19">
        <f aca="true" t="shared" si="25" ref="I30:I35">SUM(C30*7)</f>
        <v>924.3056899999999</v>
      </c>
      <c r="J30" s="11"/>
      <c r="K30" s="8"/>
    </row>
    <row r="31" spans="1:11" ht="15">
      <c r="A31" s="17" t="s">
        <v>4</v>
      </c>
      <c r="B31" s="18" t="s">
        <v>7</v>
      </c>
      <c r="C31" s="13">
        <f>3.509*37.63</f>
        <v>132.04367</v>
      </c>
      <c r="D31" s="19">
        <f t="shared" si="20"/>
        <v>264.08734</v>
      </c>
      <c r="E31" s="19">
        <f t="shared" si="21"/>
        <v>396.13100999999995</v>
      </c>
      <c r="F31" s="19">
        <f t="shared" si="22"/>
        <v>528.17468</v>
      </c>
      <c r="G31" s="19">
        <f t="shared" si="23"/>
        <v>660.21835</v>
      </c>
      <c r="H31" s="19">
        <f t="shared" si="24"/>
        <v>792.2620199999999</v>
      </c>
      <c r="I31" s="19">
        <f t="shared" si="25"/>
        <v>924.3056899999999</v>
      </c>
      <c r="J31" s="11"/>
      <c r="K31" s="8"/>
    </row>
    <row r="32" spans="1:11" ht="15">
      <c r="A32" s="17" t="s">
        <v>14</v>
      </c>
      <c r="B32" s="18" t="s">
        <v>8</v>
      </c>
      <c r="C32" s="13">
        <f>2.193*37.63</f>
        <v>82.52259000000001</v>
      </c>
      <c r="D32" s="19">
        <f t="shared" si="20"/>
        <v>165.04518000000002</v>
      </c>
      <c r="E32" s="19">
        <f t="shared" si="21"/>
        <v>247.56777000000002</v>
      </c>
      <c r="F32" s="19">
        <f t="shared" si="22"/>
        <v>330.09036000000003</v>
      </c>
      <c r="G32" s="19">
        <f t="shared" si="23"/>
        <v>412.61295000000007</v>
      </c>
      <c r="H32" s="19">
        <f t="shared" si="24"/>
        <v>495.13554000000005</v>
      </c>
      <c r="I32" s="19">
        <f t="shared" si="25"/>
        <v>577.65813</v>
      </c>
      <c r="J32" s="11"/>
      <c r="K32" s="8"/>
    </row>
    <row r="33" spans="1:11" ht="15">
      <c r="A33" s="17" t="s">
        <v>12</v>
      </c>
      <c r="B33" s="18" t="s">
        <v>11</v>
      </c>
      <c r="C33" s="13">
        <f>1.755*37.63</f>
        <v>66.04065</v>
      </c>
      <c r="D33" s="19">
        <f t="shared" si="20"/>
        <v>132.0813</v>
      </c>
      <c r="E33" s="19">
        <f t="shared" si="21"/>
        <v>198.12195</v>
      </c>
      <c r="F33" s="19">
        <f t="shared" si="22"/>
        <v>264.1626</v>
      </c>
      <c r="G33" s="19">
        <f t="shared" si="23"/>
        <v>330.20325</v>
      </c>
      <c r="H33" s="19">
        <f t="shared" si="24"/>
        <v>396.2439</v>
      </c>
      <c r="I33" s="19">
        <f t="shared" si="25"/>
        <v>462.28454999999997</v>
      </c>
      <c r="J33" s="11"/>
      <c r="K33" s="8"/>
    </row>
    <row r="34" spans="1:11" ht="15">
      <c r="A34" s="17" t="s">
        <v>10</v>
      </c>
      <c r="B34" s="18" t="s">
        <v>9</v>
      </c>
      <c r="C34" s="13">
        <f>1.316*37.63</f>
        <v>49.521080000000005</v>
      </c>
      <c r="D34" s="19">
        <f t="shared" si="20"/>
        <v>99.04216000000001</v>
      </c>
      <c r="E34" s="19">
        <f t="shared" si="21"/>
        <v>148.56324</v>
      </c>
      <c r="F34" s="19">
        <f t="shared" si="22"/>
        <v>198.08432000000002</v>
      </c>
      <c r="G34" s="19">
        <f t="shared" si="23"/>
        <v>247.60540000000003</v>
      </c>
      <c r="H34" s="19">
        <f t="shared" si="24"/>
        <v>297.12648</v>
      </c>
      <c r="I34" s="19">
        <f t="shared" si="25"/>
        <v>346.64756000000006</v>
      </c>
      <c r="J34" s="11"/>
      <c r="K34" s="8"/>
    </row>
    <row r="35" spans="1:11" ht="15">
      <c r="A35" s="17" t="s">
        <v>5</v>
      </c>
      <c r="B35" s="18" t="s">
        <v>13</v>
      </c>
      <c r="C35" s="19">
        <f>0.877*37.63</f>
        <v>33.00151</v>
      </c>
      <c r="D35" s="19">
        <f t="shared" si="20"/>
        <v>66.00302</v>
      </c>
      <c r="E35" s="19">
        <f t="shared" si="21"/>
        <v>99.00453000000002</v>
      </c>
      <c r="F35" s="19">
        <f t="shared" si="22"/>
        <v>132.00604</v>
      </c>
      <c r="G35" s="19">
        <f t="shared" si="23"/>
        <v>165.00755</v>
      </c>
      <c r="H35" s="19">
        <f t="shared" si="24"/>
        <v>198.00906000000003</v>
      </c>
      <c r="I35" s="19">
        <f t="shared" si="25"/>
        <v>231.01057000000003</v>
      </c>
      <c r="J35" s="11"/>
      <c r="K35" s="8"/>
    </row>
    <row r="74" spans="1:13" ht="15">
      <c r="A74" s="141" t="s">
        <v>61</v>
      </c>
      <c r="B74" s="142"/>
      <c r="C74" s="142"/>
      <c r="D74" s="142"/>
      <c r="E74" s="142"/>
      <c r="F74" s="143"/>
      <c r="H74" s="141" t="s">
        <v>61</v>
      </c>
      <c r="I74" s="142"/>
      <c r="J74" s="142"/>
      <c r="K74" s="142"/>
      <c r="L74" s="142"/>
      <c r="M74" s="143"/>
    </row>
    <row r="76" spans="1:13" ht="18" customHeight="1">
      <c r="A76" s="65" t="s">
        <v>60</v>
      </c>
      <c r="B76" s="65"/>
      <c r="C76" s="65"/>
      <c r="D76" s="66" t="s">
        <v>35</v>
      </c>
      <c r="E76" s="70" t="s">
        <v>77</v>
      </c>
      <c r="F76" s="71" t="s">
        <v>76</v>
      </c>
      <c r="H76" s="65" t="s">
        <v>60</v>
      </c>
      <c r="I76" s="65"/>
      <c r="J76" s="65"/>
      <c r="K76" s="66" t="s">
        <v>35</v>
      </c>
      <c r="L76" s="66" t="s">
        <v>77</v>
      </c>
      <c r="M76" s="71" t="s">
        <v>76</v>
      </c>
    </row>
    <row r="77" spans="1:13" ht="18" customHeight="1">
      <c r="A77" s="3" t="s">
        <v>38</v>
      </c>
      <c r="B77" s="4"/>
      <c r="C77" s="7"/>
      <c r="D77" s="26">
        <v>330</v>
      </c>
      <c r="E77" s="25">
        <v>0.3</v>
      </c>
      <c r="F77" s="25">
        <f aca="true" t="shared" si="26" ref="F77:F102">SUM(D77*E77)</f>
        <v>99</v>
      </c>
      <c r="H77" s="5" t="s">
        <v>64</v>
      </c>
      <c r="I77" s="6"/>
      <c r="J77" s="12"/>
      <c r="K77" s="26">
        <v>1140</v>
      </c>
      <c r="L77" s="25">
        <v>0.3</v>
      </c>
      <c r="M77" s="25">
        <f aca="true" t="shared" si="27" ref="M77:M82">SUM(K77*L77)</f>
        <v>342</v>
      </c>
    </row>
    <row r="78" spans="1:13" ht="18" customHeight="1">
      <c r="A78" s="22" t="s">
        <v>40</v>
      </c>
      <c r="B78" s="23"/>
      <c r="C78" s="24"/>
      <c r="D78" s="26">
        <v>948</v>
      </c>
      <c r="E78" s="25">
        <v>0.3</v>
      </c>
      <c r="F78" s="25">
        <f t="shared" si="26"/>
        <v>284.4</v>
      </c>
      <c r="H78" s="5" t="s">
        <v>66</v>
      </c>
      <c r="I78" s="6"/>
      <c r="J78" s="12"/>
      <c r="K78" s="26">
        <v>1412</v>
      </c>
      <c r="L78" s="25">
        <v>0.3</v>
      </c>
      <c r="M78" s="25">
        <f t="shared" si="27"/>
        <v>423.59999999999997</v>
      </c>
    </row>
    <row r="79" spans="1:13" ht="18" customHeight="1">
      <c r="A79" s="9" t="s">
        <v>32</v>
      </c>
      <c r="B79" s="8"/>
      <c r="C79" s="10"/>
      <c r="D79" s="26">
        <v>526</v>
      </c>
      <c r="E79" s="25">
        <v>0.3</v>
      </c>
      <c r="F79" s="25">
        <f t="shared" si="26"/>
        <v>157.79999999999998</v>
      </c>
      <c r="H79" s="5" t="s">
        <v>65</v>
      </c>
      <c r="I79" s="6"/>
      <c r="J79" s="12"/>
      <c r="K79" s="26">
        <v>1580</v>
      </c>
      <c r="L79" s="25">
        <v>0.3</v>
      </c>
      <c r="M79" s="25">
        <f t="shared" si="27"/>
        <v>474</v>
      </c>
    </row>
    <row r="80" spans="1:13" ht="18" customHeight="1">
      <c r="A80" s="22" t="s">
        <v>42</v>
      </c>
      <c r="B80" s="23"/>
      <c r="C80" s="24"/>
      <c r="D80" s="26">
        <v>1360</v>
      </c>
      <c r="E80" s="25">
        <v>0.3</v>
      </c>
      <c r="F80" s="25">
        <f t="shared" si="26"/>
        <v>408</v>
      </c>
      <c r="H80" s="5" t="s">
        <v>68</v>
      </c>
      <c r="I80" s="6"/>
      <c r="J80" s="12"/>
      <c r="K80" s="26">
        <v>1878</v>
      </c>
      <c r="L80" s="25">
        <v>0.3</v>
      </c>
      <c r="M80" s="25">
        <f t="shared" si="27"/>
        <v>563.4</v>
      </c>
    </row>
    <row r="81" spans="1:13" ht="18" customHeight="1">
      <c r="A81" s="9" t="s">
        <v>33</v>
      </c>
      <c r="B81" s="8"/>
      <c r="C81" s="10"/>
      <c r="D81" s="26">
        <v>404</v>
      </c>
      <c r="E81" s="25">
        <v>0.3</v>
      </c>
      <c r="F81" s="25">
        <f t="shared" si="26"/>
        <v>121.19999999999999</v>
      </c>
      <c r="H81" s="5" t="s">
        <v>69</v>
      </c>
      <c r="I81" s="6"/>
      <c r="J81" s="12"/>
      <c r="K81" s="26">
        <v>1042</v>
      </c>
      <c r="L81" s="25">
        <v>0.3</v>
      </c>
      <c r="M81" s="25">
        <f t="shared" si="27"/>
        <v>312.59999999999997</v>
      </c>
    </row>
    <row r="82" spans="1:13" ht="18" customHeight="1">
      <c r="A82" s="22" t="s">
        <v>34</v>
      </c>
      <c r="B82" s="23"/>
      <c r="C82" s="24"/>
      <c r="D82" s="26">
        <v>944</v>
      </c>
      <c r="E82" s="25">
        <v>0.3</v>
      </c>
      <c r="F82" s="25">
        <f t="shared" si="26"/>
        <v>283.2</v>
      </c>
      <c r="H82" s="5" t="s">
        <v>70</v>
      </c>
      <c r="I82" s="6"/>
      <c r="J82" s="12"/>
      <c r="K82" s="26">
        <v>416</v>
      </c>
      <c r="L82" s="25">
        <v>0.3</v>
      </c>
      <c r="M82" s="25">
        <f t="shared" si="27"/>
        <v>124.8</v>
      </c>
    </row>
    <row r="83" spans="1:6" ht="18" customHeight="1">
      <c r="A83" s="9" t="s">
        <v>50</v>
      </c>
      <c r="B83" s="8"/>
      <c r="C83" s="10"/>
      <c r="D83" s="26">
        <v>338</v>
      </c>
      <c r="E83" s="25">
        <v>0.3</v>
      </c>
      <c r="F83" s="25">
        <f t="shared" si="26"/>
        <v>101.39999999999999</v>
      </c>
    </row>
    <row r="84" spans="1:6" ht="18" customHeight="1">
      <c r="A84" s="22" t="s">
        <v>54</v>
      </c>
      <c r="B84" s="23"/>
      <c r="C84" s="24"/>
      <c r="D84" s="26">
        <v>2316</v>
      </c>
      <c r="E84" s="25">
        <v>0.3</v>
      </c>
      <c r="F84" s="25">
        <f t="shared" si="26"/>
        <v>694.8</v>
      </c>
    </row>
    <row r="85" spans="1:6" ht="18" customHeight="1">
      <c r="A85" s="9" t="s">
        <v>53</v>
      </c>
      <c r="B85" s="8"/>
      <c r="C85" s="10"/>
      <c r="D85" s="26">
        <v>1978</v>
      </c>
      <c r="E85" s="25">
        <v>0.3</v>
      </c>
      <c r="F85" s="25">
        <f t="shared" si="26"/>
        <v>593.4</v>
      </c>
    </row>
    <row r="86" spans="1:6" ht="18" customHeight="1">
      <c r="A86" s="22" t="s">
        <v>56</v>
      </c>
      <c r="B86" s="23"/>
      <c r="C86" s="24"/>
      <c r="D86" s="26">
        <v>1042</v>
      </c>
      <c r="E86" s="25">
        <v>0.3</v>
      </c>
      <c r="F86" s="25">
        <f t="shared" si="26"/>
        <v>312.59999999999997</v>
      </c>
    </row>
    <row r="87" spans="1:6" ht="18" customHeight="1">
      <c r="A87" s="9" t="s">
        <v>43</v>
      </c>
      <c r="B87" s="8"/>
      <c r="C87" s="10"/>
      <c r="D87" s="26">
        <v>1130</v>
      </c>
      <c r="E87" s="25">
        <v>0.3</v>
      </c>
      <c r="F87" s="25">
        <f t="shared" si="26"/>
        <v>339</v>
      </c>
    </row>
    <row r="88" spans="1:6" ht="18" customHeight="1">
      <c r="A88" s="22" t="s">
        <v>45</v>
      </c>
      <c r="B88" s="23"/>
      <c r="C88" s="24"/>
      <c r="D88" s="26">
        <v>486</v>
      </c>
      <c r="E88" s="25">
        <v>0.3</v>
      </c>
      <c r="F88" s="25">
        <f t="shared" si="26"/>
        <v>145.79999999999998</v>
      </c>
    </row>
    <row r="89" spans="1:6" ht="18" customHeight="1">
      <c r="A89" s="9" t="s">
        <v>57</v>
      </c>
      <c r="B89" s="8"/>
      <c r="C89" s="10"/>
      <c r="D89" s="26">
        <v>482</v>
      </c>
      <c r="E89" s="25">
        <v>0.3</v>
      </c>
      <c r="F89" s="25">
        <f t="shared" si="26"/>
        <v>144.6</v>
      </c>
    </row>
    <row r="90" spans="1:6" ht="18" customHeight="1">
      <c r="A90" s="22" t="s">
        <v>46</v>
      </c>
      <c r="B90" s="23"/>
      <c r="C90" s="24"/>
      <c r="D90" s="26">
        <v>428</v>
      </c>
      <c r="E90" s="25">
        <v>0.3</v>
      </c>
      <c r="F90" s="25">
        <f t="shared" si="26"/>
        <v>128.4</v>
      </c>
    </row>
    <row r="91" spans="1:6" ht="18" customHeight="1">
      <c r="A91" s="9" t="s">
        <v>47</v>
      </c>
      <c r="B91" s="8"/>
      <c r="C91" s="10"/>
      <c r="D91" s="26">
        <v>1728</v>
      </c>
      <c r="E91" s="25">
        <v>0.3</v>
      </c>
      <c r="F91" s="25">
        <f t="shared" si="26"/>
        <v>518.4</v>
      </c>
    </row>
    <row r="92" spans="1:6" ht="18" customHeight="1">
      <c r="A92" s="22" t="s">
        <v>48</v>
      </c>
      <c r="B92" s="23"/>
      <c r="C92" s="24"/>
      <c r="D92" s="26">
        <v>814</v>
      </c>
      <c r="E92" s="25">
        <v>0.3</v>
      </c>
      <c r="F92" s="25">
        <f t="shared" si="26"/>
        <v>244.2</v>
      </c>
    </row>
    <row r="93" spans="1:6" ht="18" customHeight="1">
      <c r="A93" s="9" t="s">
        <v>49</v>
      </c>
      <c r="B93" s="8"/>
      <c r="C93" s="10"/>
      <c r="D93" s="26">
        <v>912</v>
      </c>
      <c r="E93" s="25">
        <v>0.3</v>
      </c>
      <c r="F93" s="25">
        <f t="shared" si="26"/>
        <v>273.59999999999997</v>
      </c>
    </row>
    <row r="94" spans="1:6" ht="18" customHeight="1">
      <c r="A94" s="22" t="s">
        <v>59</v>
      </c>
      <c r="B94" s="23"/>
      <c r="C94" s="24"/>
      <c r="D94" s="26">
        <v>1028</v>
      </c>
      <c r="E94" s="25">
        <v>0.3</v>
      </c>
      <c r="F94" s="25">
        <f t="shared" si="26"/>
        <v>308.4</v>
      </c>
    </row>
    <row r="95" spans="1:6" ht="18" customHeight="1">
      <c r="A95" s="9" t="s">
        <v>39</v>
      </c>
      <c r="B95" s="8"/>
      <c r="C95" s="10"/>
      <c r="D95" s="26">
        <v>874</v>
      </c>
      <c r="E95" s="25">
        <v>0.3</v>
      </c>
      <c r="F95" s="25">
        <f t="shared" si="26"/>
        <v>262.2</v>
      </c>
    </row>
    <row r="96" spans="1:6" ht="18" customHeight="1">
      <c r="A96" s="22" t="s">
        <v>41</v>
      </c>
      <c r="B96" s="23"/>
      <c r="C96" s="24"/>
      <c r="D96" s="26">
        <v>602</v>
      </c>
      <c r="E96" s="25">
        <v>0.3</v>
      </c>
      <c r="F96" s="25">
        <f t="shared" si="26"/>
        <v>180.6</v>
      </c>
    </row>
    <row r="97" spans="1:6" ht="18" customHeight="1">
      <c r="A97" s="9" t="s">
        <v>52</v>
      </c>
      <c r="B97" s="8"/>
      <c r="C97" s="10"/>
      <c r="D97" s="26">
        <v>744</v>
      </c>
      <c r="E97" s="25">
        <v>0.3</v>
      </c>
      <c r="F97" s="25">
        <f t="shared" si="26"/>
        <v>223.2</v>
      </c>
    </row>
    <row r="98" spans="1:6" ht="18" customHeight="1">
      <c r="A98" s="67" t="s">
        <v>58</v>
      </c>
      <c r="B98" s="68"/>
      <c r="C98" s="69"/>
      <c r="D98" s="26">
        <v>1070</v>
      </c>
      <c r="E98" s="25">
        <v>0.3</v>
      </c>
      <c r="F98" s="25">
        <f t="shared" si="26"/>
        <v>321</v>
      </c>
    </row>
    <row r="99" spans="1:6" ht="18" customHeight="1">
      <c r="A99" s="9" t="s">
        <v>51</v>
      </c>
      <c r="B99" s="8"/>
      <c r="C99" s="10"/>
      <c r="D99" s="26">
        <v>1316</v>
      </c>
      <c r="E99" s="25">
        <v>0.3</v>
      </c>
      <c r="F99" s="25">
        <f t="shared" si="26"/>
        <v>394.8</v>
      </c>
    </row>
    <row r="100" spans="1:6" ht="18" customHeight="1">
      <c r="A100" s="22" t="s">
        <v>44</v>
      </c>
      <c r="B100" s="23"/>
      <c r="C100" s="24"/>
      <c r="D100" s="26">
        <v>1632</v>
      </c>
      <c r="E100" s="25">
        <v>0.3</v>
      </c>
      <c r="F100" s="25">
        <f t="shared" si="26"/>
        <v>489.59999999999997</v>
      </c>
    </row>
    <row r="101" spans="1:6" ht="18" customHeight="1">
      <c r="A101" s="5" t="s">
        <v>55</v>
      </c>
      <c r="B101" s="6"/>
      <c r="C101" s="12"/>
      <c r="D101" s="26">
        <v>1414</v>
      </c>
      <c r="E101" s="25">
        <v>0.3</v>
      </c>
      <c r="F101" s="25">
        <f t="shared" si="26"/>
        <v>424.2</v>
      </c>
    </row>
    <row r="102" spans="1:6" ht="18" customHeight="1">
      <c r="A102" s="22" t="s">
        <v>62</v>
      </c>
      <c r="B102" s="23"/>
      <c r="C102" s="24"/>
      <c r="D102" s="26">
        <v>316</v>
      </c>
      <c r="E102" s="25">
        <v>0.3</v>
      </c>
      <c r="F102" s="25">
        <f t="shared" si="26"/>
        <v>94.8</v>
      </c>
    </row>
    <row r="103" spans="1:6" ht="18" customHeight="1">
      <c r="A103" s="22" t="s">
        <v>67</v>
      </c>
      <c r="B103" s="23"/>
      <c r="C103" s="24"/>
      <c r="D103" s="26">
        <v>66</v>
      </c>
      <c r="E103" s="25">
        <v>0.3</v>
      </c>
      <c r="F103" s="25">
        <f>SUM(D103*E103)</f>
        <v>19.8</v>
      </c>
    </row>
    <row r="110" spans="5:6" ht="14.25">
      <c r="E110" s="14"/>
      <c r="F110" s="14"/>
    </row>
    <row r="111" spans="5:6" ht="14.25">
      <c r="E111" s="14"/>
      <c r="F111" s="14"/>
    </row>
  </sheetData>
  <sheetProtection/>
  <mergeCells count="12">
    <mergeCell ref="A74:F74"/>
    <mergeCell ref="A26:C26"/>
    <mergeCell ref="H74:M74"/>
    <mergeCell ref="A1:N1"/>
    <mergeCell ref="A5:B5"/>
    <mergeCell ref="A6:B6"/>
    <mergeCell ref="A17:B17"/>
    <mergeCell ref="A2:N2"/>
    <mergeCell ref="A3:C3"/>
    <mergeCell ref="A18:B18"/>
    <mergeCell ref="A28:B28"/>
    <mergeCell ref="A29:B29"/>
  </mergeCells>
  <printOptions/>
  <pageMargins left="0.5905511811023623" right="0.3937007874015748" top="0.5905511811023623" bottom="0.5905511811023623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10/12/2002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Andreina Maldonado</cp:lastModifiedBy>
  <cp:lastPrinted>2020-02-03T15:55:39Z</cp:lastPrinted>
  <dcterms:created xsi:type="dcterms:W3CDTF">2004-06-17T17:50:37Z</dcterms:created>
  <dcterms:modified xsi:type="dcterms:W3CDTF">2020-02-03T15:56:52Z</dcterms:modified>
  <cp:category/>
  <cp:version/>
  <cp:contentType/>
  <cp:contentStatus/>
</cp:coreProperties>
</file>